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4-SS25/1-SAMPLE/2-STYLE-FILE/CUTTING DOCKET/MAINLINE/22. SS25WR000 Paneled Basketball Short/"/>
    </mc:Choice>
  </mc:AlternateContent>
  <xr:revisionPtr revIDLastSave="216" documentId="13_ncr:1_{5B155279-81D3-46AE-A8A6-A24748592962}" xr6:coauthVersionLast="47" xr6:coauthVersionMax="47" xr10:uidLastSave="{196EB2E9-0398-445C-841B-5028F5CDDAB7}"/>
  <bookViews>
    <workbookView xWindow="-108" yWindow="-108" windowWidth="23256" windowHeight="12456" tabRatio="753" firstSheet="1" activeTab="1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SPEC PROTO" sheetId="33" r:id="rId4"/>
    <sheet name="SPEC PROTO SPEND 21.5" sheetId="34" r:id="rId5"/>
    <sheet name="SPEC" sheetId="27" state="hidden" r:id="rId6"/>
    <sheet name="2. TRIM CARD (GREY)" sheetId="17" state="hidden" r:id="rId7"/>
    <sheet name="3. ĐỊNH VỊ HÌNH IN.THÊU" sheetId="7" state="hidden" r:id="rId8"/>
    <sheet name="4. THÔNG SỐ SẢN XUẤT" sheetId="8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>'[5]Chiet tinh dz22'!#REF!</definedName>
    <definedName name="_day2">'[6]Chiet tinh dz35'!$H$3</definedName>
    <definedName name="_dbu1">'[4]CT Thang Mo'!#REF!</definedName>
    <definedName name="_dbu2">'[4]CT Thang Mo'!$B$93:$F$93</definedName>
    <definedName name="_Fill" localSheetId="2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4" hidden="1">#REF!</definedName>
    <definedName name="_Fill" hidden="1">#REF!</definedName>
    <definedName name="_xlnm._FilterDatabase" localSheetId="1" hidden="1">'1. CUTTING DOCKET'!$A$53:$R$102</definedName>
    <definedName name="_xlnm._FilterDatabase" localSheetId="0" hidden="1">GREY!$A$64:$Q$131</definedName>
    <definedName name="_lap1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>#REF!</definedName>
    <definedName name="cap">#REF!</definedName>
    <definedName name="cap0.7">#REF!</definedName>
    <definedName name="CCNK">[9]QMCT!#REF!</definedName>
    <definedName name="CL">#REF!</definedName>
    <definedName name="CLTMP">[9]QMCT!#REF!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[7]TK!$E$11:$E$60</definedName>
    <definedName name="DM_2">[7]TK!$M$11:$M$60</definedName>
    <definedName name="dobt">#REF!</definedName>
    <definedName name="Döõ_Lieäu_Thoâ">[7]TK!$E$11:$E$60,[7]TK!$G$11:$G$60,[7]TK!$M$11:$M$60,[7]TK!$Q$11:$Q$60</definedName>
    <definedName name="dulieu">#REF!</definedName>
    <definedName name="FHT">#REF!</definedName>
    <definedName name="Full">[9]QMCT!#REF!</definedName>
    <definedName name="FYUJK" localSheetId="5">[10]!K_1</definedName>
    <definedName name="FYUJK" localSheetId="3">[10]!K_1</definedName>
    <definedName name="FYUJK" localSheetId="4">[10]!K_1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>[9]QMCT!#REF!</definedName>
    <definedName name="HDCD">[9]QMCT!#REF!</definedName>
    <definedName name="Heâ_Soá">'[12]He so'!$A$1:$AU$1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>[7]HS!#REF!</definedName>
    <definedName name="HS_2">[7]HS!#REF!</definedName>
    <definedName name="HS_3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JHJ">[7]HS!#REF!</definedName>
    <definedName name="JHLJHJHJ">[9]QMCT!#REF!</definedName>
    <definedName name="JUU">#REF!</definedName>
    <definedName name="K">#REF!</definedName>
    <definedName name="K_1" localSheetId="5">[10]!K_1</definedName>
    <definedName name="K_1" localSheetId="3">[10]!K_1</definedName>
    <definedName name="K_1" localSheetId="4">[10]!K_1</definedName>
    <definedName name="K_1">[10]!K_1</definedName>
    <definedName name="K_2" localSheetId="5">[10]!K_2</definedName>
    <definedName name="K_2" localSheetId="3">[10]!K_2</definedName>
    <definedName name="K_2" localSheetId="4">[10]!K_2</definedName>
    <definedName name="K_2">[10]!K_2</definedName>
    <definedName name="Khaû_Naêng">#REF!</definedName>
    <definedName name="KN">#REF!</definedName>
    <definedName name="KNIT">'[13]GENERAL (K)'!$C$7:$C$4072</definedName>
    <definedName name="KVC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>#REF!</definedName>
    <definedName name="lVC">#REF!</definedName>
    <definedName name="Mao_CN">#REF!</definedName>
    <definedName name="Maõ_CÑ">#REF!</definedName>
    <definedName name="Maõ_Haøng">#REF!</definedName>
    <definedName name="mat">[14]Tke!$AD$10:$AR$96</definedName>
    <definedName name="May">#REF!</definedName>
    <definedName name="Naêng_Suaát_BQ">[8]QT!$P$3</definedName>
    <definedName name="Naêng_suaát_BQ__taïm">#REF!</definedName>
    <definedName name="Naêng_suaát_QÑ">#REF!</definedName>
    <definedName name="NCcap0.7">#REF!</definedName>
    <definedName name="NCcap1">#REF!</definedName>
    <definedName name="ÑG">[8]QT!$K$6</definedName>
    <definedName name="Ngaøy_thaùng_HH">#REF!</definedName>
    <definedName name="Ñinh_Möùc_BQ">[8]QT!$B$5</definedName>
    <definedName name="ÑMTB">#REF!</definedName>
    <definedName name="Ñoåi_teân">[7]HS!#REF!</definedName>
    <definedName name="Ñôn_Giaù_Duyeät">#REF!</definedName>
    <definedName name="Ñònh_Möùc_BQ">#REF!</definedName>
    <definedName name="NSNM">#REF!</definedName>
    <definedName name="NToS" localSheetId="5">[15]!NToS</definedName>
    <definedName name="NToS" localSheetId="3">[15]!NToS</definedName>
    <definedName name="NToS" localSheetId="4">[15]!NToS</definedName>
    <definedName name="NToS">[15]!NToS</definedName>
    <definedName name="PRICE">#REF!</definedName>
    <definedName name="_xlnm.Print_Area" localSheetId="1">'1. CUTTING DOCKET'!$A$1:$Q$140</definedName>
    <definedName name="_xlnm.Print_Area" localSheetId="2">'2. TRIM CARD'!$A$1:$B$28</definedName>
    <definedName name="_xlnm.Print_Area" localSheetId="6">'2. TRIM CARD (GREY)'!$A$1:$E$39</definedName>
    <definedName name="_xlnm.Print_Area" localSheetId="0">GREY!$A$1:$P$169</definedName>
    <definedName name="_xlnm.Print_Area" localSheetId="5">SPEC!$A$1:$N$19</definedName>
    <definedName name="_xlnm.Print_Area" localSheetId="3">'SPEC PROTO'!$A$1:$I$21</definedName>
    <definedName name="_xlnm.Print_Area" localSheetId="4">'SPEC PROTO SPEND 21.5'!$A$1:$N$21</definedName>
    <definedName name="Print_erea">[8]QT!$A$1:$U$54</definedName>
    <definedName name="_xlnm.Print_Titles" localSheetId="1">'1. CUTTING DOCKET'!$1:$15</definedName>
    <definedName name="_xlnm.Print_Titles" localSheetId="2">'2. TRIM CARD'!$1:$5</definedName>
    <definedName name="_xlnm.Print_Titles" localSheetId="6">'2. TRIM CARD (GREY)'!$1:$5</definedName>
    <definedName name="_xlnm.Print_Titles" localSheetId="0">GREY!$1:$15</definedName>
    <definedName name="_xlnm.Print_Titles" localSheetId="5">SPEC!$1:$2</definedName>
    <definedName name="_xlnm.Print_Titles" localSheetId="3">'SPEC PROTO'!$1:$2</definedName>
    <definedName name="_xlnm.Print_Titles" localSheetId="4">'SPEC PROTO SPEND 21.5'!$1:$2</definedName>
    <definedName name="Quyõ_TG_SX">#REF!</definedName>
    <definedName name="Quyõ_TGTB">#REF!</definedName>
    <definedName name="S_löôïng_BQ1toå">#REF!</definedName>
    <definedName name="sau">'[6]Chiet tinh dz35'!$H$4</definedName>
    <definedName name="SDDD">'[16]Chi tiet'!#REF!</definedName>
    <definedName name="SDDL">[9]QMCT!#REF!</definedName>
    <definedName name="SDSFDDF">#REF!</definedName>
    <definedName name="SFGFG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>#REF!</definedName>
    <definedName name="vc3.">'[4]CT  PL'!$B$125:$H$125</definedName>
    <definedName name="vca">'[4]CT  PL'!$B$25:$H$25</definedName>
    <definedName name="vccot">#REF!</definedName>
    <definedName name="vccot.">'[4]CT  PL'!$B$8:$H$8</definedName>
    <definedName name="vcdbt">'[4]CT Thang Mo'!$B$220:$I$220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>#REF!</definedName>
    <definedName name="vctt">'[4]CT  PL'!$B$288:$H$288</definedName>
    <definedName name="VDCLY">[9]QMCT!#REF!</definedName>
    <definedName name="Vlcap0.7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34" l="1"/>
  <c r="J5" i="34"/>
  <c r="J6" i="34"/>
  <c r="J7" i="34"/>
  <c r="J8" i="34"/>
  <c r="J9" i="34"/>
  <c r="J10" i="34"/>
  <c r="J11" i="34"/>
  <c r="J12" i="34"/>
  <c r="J14" i="34"/>
  <c r="J15" i="34"/>
  <c r="J16" i="34"/>
  <c r="J17" i="34"/>
  <c r="J18" i="34"/>
  <c r="J19" i="34"/>
  <c r="J20" i="34"/>
  <c r="J21" i="34"/>
  <c r="O4" i="34"/>
  <c r="O5" i="34"/>
  <c r="O6" i="34"/>
  <c r="O7" i="34"/>
  <c r="O8" i="34"/>
  <c r="O9" i="34"/>
  <c r="O10" i="34"/>
  <c r="O11" i="34"/>
  <c r="O12" i="34"/>
  <c r="O13" i="34"/>
  <c r="O14" i="34"/>
  <c r="O15" i="34"/>
  <c r="O16" i="34"/>
  <c r="O17" i="34"/>
  <c r="O18" i="34"/>
  <c r="O19" i="34"/>
  <c r="O20" i="34"/>
  <c r="O21" i="34"/>
  <c r="K7" i="34"/>
  <c r="O3" i="34"/>
  <c r="J3" i="34"/>
  <c r="A1" i="34"/>
  <c r="A12" i="5"/>
  <c r="B11" i="5"/>
  <c r="A11" i="5"/>
  <c r="D11" i="5"/>
  <c r="C11" i="5"/>
  <c r="I45" i="1"/>
  <c r="J45" i="1" s="1"/>
  <c r="G45" i="1"/>
  <c r="E45" i="1"/>
  <c r="G26" i="1"/>
  <c r="H26" i="1"/>
  <c r="I26" i="1"/>
  <c r="J26" i="1"/>
  <c r="K26" i="1"/>
  <c r="E137" i="1"/>
  <c r="D119" i="1"/>
  <c r="E119" i="1"/>
  <c r="F119" i="1"/>
  <c r="G119" i="1"/>
  <c r="H119" i="1"/>
  <c r="I119" i="1"/>
  <c r="J119" i="1"/>
  <c r="E118" i="1"/>
  <c r="F118" i="1"/>
  <c r="G118" i="1"/>
  <c r="H118" i="1"/>
  <c r="I118" i="1"/>
  <c r="J118" i="1"/>
  <c r="D118" i="1"/>
  <c r="B119" i="1"/>
  <c r="B118" i="1"/>
  <c r="M45" i="1" l="1"/>
  <c r="A1" i="33"/>
  <c r="D17" i="5" l="1"/>
  <c r="B17" i="5"/>
  <c r="A18" i="5"/>
  <c r="L62" i="1"/>
  <c r="L61" i="1"/>
  <c r="L60" i="1"/>
  <c r="L56" i="1"/>
  <c r="L55" i="1"/>
  <c r="L54" i="1"/>
  <c r="I62" i="1" l="1"/>
  <c r="I61" i="1"/>
  <c r="I60" i="1"/>
  <c r="H60" i="1"/>
  <c r="B27" i="5"/>
  <c r="C27" i="5"/>
  <c r="B25" i="5"/>
  <c r="B21" i="5"/>
  <c r="D14" i="5"/>
  <c r="C14" i="5"/>
  <c r="B14" i="5"/>
  <c r="D16" i="5"/>
  <c r="C16" i="5"/>
  <c r="B16" i="5"/>
  <c r="A16" i="5"/>
  <c r="J96" i="1"/>
  <c r="J97" i="1" s="1"/>
  <c r="F96" i="1"/>
  <c r="F97" i="1" s="1"/>
  <c r="B96" i="1"/>
  <c r="B97" i="1" s="1"/>
  <c r="A96" i="1"/>
  <c r="A97" i="1" s="1"/>
  <c r="J93" i="1"/>
  <c r="J94" i="1" s="1"/>
  <c r="F93" i="1"/>
  <c r="F94" i="1" s="1"/>
  <c r="B93" i="1"/>
  <c r="B94" i="1" s="1"/>
  <c r="A93" i="1"/>
  <c r="A94" i="1" s="1"/>
  <c r="L92" i="1"/>
  <c r="L93" i="1" s="1"/>
  <c r="J90" i="1"/>
  <c r="J91" i="1" s="1"/>
  <c r="F90" i="1"/>
  <c r="F91" i="1" s="1"/>
  <c r="B90" i="1"/>
  <c r="B91" i="1" s="1"/>
  <c r="A90" i="1"/>
  <c r="A91" i="1" s="1"/>
  <c r="L89" i="1"/>
  <c r="L87" i="1"/>
  <c r="L88" i="1" s="1"/>
  <c r="J87" i="1"/>
  <c r="J88" i="1" s="1"/>
  <c r="F87" i="1"/>
  <c r="F88" i="1" s="1"/>
  <c r="B87" i="1"/>
  <c r="B88" i="1" s="1"/>
  <c r="A87" i="1"/>
  <c r="A88" i="1" s="1"/>
  <c r="L84" i="1"/>
  <c r="J84" i="1"/>
  <c r="J85" i="1" s="1"/>
  <c r="F84" i="1"/>
  <c r="F85" i="1" s="1"/>
  <c r="B84" i="1"/>
  <c r="B85" i="1" s="1"/>
  <c r="A84" i="1"/>
  <c r="A85" i="1" s="1"/>
  <c r="L81" i="1"/>
  <c r="J81" i="1"/>
  <c r="J82" i="1" s="1"/>
  <c r="F81" i="1"/>
  <c r="F82" i="1" s="1"/>
  <c r="B81" i="1"/>
  <c r="B82" i="1" s="1"/>
  <c r="A81" i="1"/>
  <c r="A82" i="1" s="1"/>
  <c r="L95" i="1" l="1"/>
  <c r="L96" i="1" s="1"/>
  <c r="L94" i="1"/>
  <c r="L85" i="1"/>
  <c r="L82" i="1"/>
  <c r="L90" i="1"/>
  <c r="L97" i="1" l="1"/>
  <c r="L91" i="1"/>
  <c r="B67" i="1" l="1"/>
  <c r="B68" i="1" s="1"/>
  <c r="B70" i="1"/>
  <c r="B71" i="1" s="1"/>
  <c r="L59" i="1"/>
  <c r="L58" i="1"/>
  <c r="L57" i="1"/>
  <c r="B73" i="1"/>
  <c r="B74" i="1" s="1"/>
  <c r="F136" i="1" l="1"/>
  <c r="D136" i="1"/>
  <c r="C136" i="1" l="1"/>
  <c r="C137" i="1" s="1"/>
  <c r="D137" i="1"/>
  <c r="G136" i="1"/>
  <c r="F137" i="1"/>
  <c r="Q35" i="1"/>
  <c r="Q34" i="1"/>
  <c r="Q32" i="1"/>
  <c r="Q28" i="1"/>
  <c r="Q27" i="1"/>
  <c r="Q25" i="1"/>
  <c r="D33" i="1"/>
  <c r="D34" i="1" s="1"/>
  <c r="D35" i="1" s="1"/>
  <c r="D36" i="1" s="1"/>
  <c r="D19" i="1"/>
  <c r="D20" i="1" s="1"/>
  <c r="D21" i="1" s="1"/>
  <c r="D22" i="1" s="1"/>
  <c r="B113" i="1" s="1"/>
  <c r="D26" i="1"/>
  <c r="D27" i="1" s="1"/>
  <c r="D28" i="1" s="1"/>
  <c r="D29" i="1" s="1"/>
  <c r="H136" i="1" l="1"/>
  <c r="H137" i="1" s="1"/>
  <c r="G137" i="1"/>
  <c r="B140" i="1"/>
  <c r="B115" i="1"/>
  <c r="B139" i="1"/>
  <c r="B114" i="1"/>
  <c r="B138" i="1"/>
  <c r="H36" i="1"/>
  <c r="K36" i="1"/>
  <c r="J36" i="1"/>
  <c r="I36" i="1"/>
  <c r="G36" i="1"/>
  <c r="F26" i="1"/>
  <c r="Q26" i="1" l="1"/>
  <c r="Q29" i="1" s="1"/>
  <c r="D140" i="1"/>
  <c r="D147" i="1" s="1"/>
  <c r="F140" i="1"/>
  <c r="F147" i="1" s="1"/>
  <c r="G140" i="1"/>
  <c r="G147" i="1" s="1"/>
  <c r="F36" i="1"/>
  <c r="C140" i="1" s="1"/>
  <c r="C147" i="1" s="1"/>
  <c r="Q33" i="1"/>
  <c r="Q36" i="1" s="1"/>
  <c r="H140" i="1"/>
  <c r="H147" i="1" s="1"/>
  <c r="E140" i="1"/>
  <c r="E147" i="1" s="1"/>
  <c r="I59" i="1"/>
  <c r="I58" i="1"/>
  <c r="I57" i="1"/>
  <c r="H57" i="1"/>
  <c r="D9" i="5"/>
  <c r="D15" i="5" s="1"/>
  <c r="C9" i="5"/>
  <c r="C15" i="5" s="1"/>
  <c r="B9" i="5"/>
  <c r="B15" i="5" s="1"/>
  <c r="D6" i="5"/>
  <c r="D13" i="5" s="1"/>
  <c r="C6" i="5"/>
  <c r="C13" i="5" s="1"/>
  <c r="K94" i="1" l="1"/>
  <c r="M94" i="1" s="1"/>
  <c r="O94" i="1" s="1"/>
  <c r="K85" i="1"/>
  <c r="M85" i="1" s="1"/>
  <c r="O85" i="1" s="1"/>
  <c r="K62" i="1"/>
  <c r="M62" i="1" s="1"/>
  <c r="O62" i="1" s="1"/>
  <c r="K91" i="1"/>
  <c r="M91" i="1" s="1"/>
  <c r="O91" i="1" s="1"/>
  <c r="K82" i="1"/>
  <c r="M82" i="1" s="1"/>
  <c r="O82" i="1" s="1"/>
  <c r="K97" i="1"/>
  <c r="M97" i="1" s="1"/>
  <c r="O97" i="1" s="1"/>
  <c r="K88" i="1"/>
  <c r="M88" i="1" s="1"/>
  <c r="O88" i="1" s="1"/>
  <c r="K81" i="1"/>
  <c r="M81" i="1" s="1"/>
  <c r="O81" i="1" s="1"/>
  <c r="K61" i="1"/>
  <c r="M61" i="1" s="1"/>
  <c r="O61" i="1" s="1"/>
  <c r="K93" i="1"/>
  <c r="M93" i="1" s="1"/>
  <c r="O93" i="1" s="1"/>
  <c r="K84" i="1"/>
  <c r="M84" i="1" s="1"/>
  <c r="O84" i="1" s="1"/>
  <c r="K87" i="1"/>
  <c r="M87" i="1" s="1"/>
  <c r="O87" i="1" s="1"/>
  <c r="K90" i="1"/>
  <c r="M90" i="1" s="1"/>
  <c r="O90" i="1" s="1"/>
  <c r="K96" i="1"/>
  <c r="M96" i="1" s="1"/>
  <c r="O96" i="1" s="1"/>
  <c r="K59" i="1"/>
  <c r="K77" i="1"/>
  <c r="K74" i="1"/>
  <c r="K68" i="1"/>
  <c r="K56" i="1"/>
  <c r="K65" i="1"/>
  <c r="K71" i="1"/>
  <c r="G47" i="1"/>
  <c r="G48" i="1" s="1"/>
  <c r="I48" i="1" s="1"/>
  <c r="M48" i="1" s="1"/>
  <c r="K70" i="1"/>
  <c r="K55" i="1"/>
  <c r="K58" i="1"/>
  <c r="K67" i="1"/>
  <c r="K76" i="1"/>
  <c r="K73" i="1"/>
  <c r="K64" i="1"/>
  <c r="G50" i="1"/>
  <c r="J140" i="1"/>
  <c r="I77" i="1"/>
  <c r="I76" i="1"/>
  <c r="I75" i="1"/>
  <c r="H75" i="1"/>
  <c r="I74" i="1"/>
  <c r="I73" i="1"/>
  <c r="I72" i="1"/>
  <c r="H72" i="1"/>
  <c r="I71" i="1"/>
  <c r="I70" i="1"/>
  <c r="I69" i="1"/>
  <c r="H69" i="1"/>
  <c r="I68" i="1"/>
  <c r="I67" i="1"/>
  <c r="I66" i="1"/>
  <c r="H66" i="1"/>
  <c r="I65" i="1"/>
  <c r="I64" i="1"/>
  <c r="I63" i="1"/>
  <c r="H63" i="1"/>
  <c r="B50" i="1"/>
  <c r="B51" i="1" s="1"/>
  <c r="B47" i="1"/>
  <c r="B48" i="1" s="1"/>
  <c r="A49" i="1"/>
  <c r="H74" i="1" l="1"/>
  <c r="H62" i="1"/>
  <c r="G51" i="1"/>
  <c r="I51" i="1" s="1"/>
  <c r="H71" i="1"/>
  <c r="H59" i="1"/>
  <c r="H77" i="1"/>
  <c r="H56" i="1"/>
  <c r="H68" i="1"/>
  <c r="H65" i="1"/>
  <c r="J51" i="1" l="1"/>
  <c r="M51" i="1" s="1"/>
  <c r="A25" i="5"/>
  <c r="A14" i="5" l="1"/>
  <c r="I55" i="1"/>
  <c r="I56" i="1"/>
  <c r="A23" i="5"/>
  <c r="A21" i="5"/>
  <c r="B102" i="1"/>
  <c r="A27" i="5"/>
  <c r="A10" i="5" l="1"/>
  <c r="C123" i="1"/>
  <c r="A1" i="27"/>
  <c r="D12" i="1" l="1"/>
  <c r="H54" i="1" l="1"/>
  <c r="I54" i="1"/>
  <c r="G29" i="1" l="1"/>
  <c r="H29" i="1"/>
  <c r="I29" i="1"/>
  <c r="J29" i="1"/>
  <c r="K29" i="1"/>
  <c r="F29" i="1"/>
  <c r="C139" i="1" s="1"/>
  <c r="C146" i="1" s="1"/>
  <c r="H139" i="1" l="1"/>
  <c r="H146" i="1" s="1"/>
  <c r="H132" i="1"/>
  <c r="G139" i="1"/>
  <c r="G146" i="1" s="1"/>
  <c r="G132" i="1"/>
  <c r="F132" i="1"/>
  <c r="F139" i="1"/>
  <c r="F146" i="1" s="1"/>
  <c r="E132" i="1"/>
  <c r="E139" i="1"/>
  <c r="E146" i="1" s="1"/>
  <c r="D139" i="1"/>
  <c r="D146" i="1" s="1"/>
  <c r="D132" i="1"/>
  <c r="G22" i="1"/>
  <c r="J139" i="1" l="1"/>
  <c r="D138" i="1"/>
  <c r="D145" i="1" s="1"/>
  <c r="G38" i="1"/>
  <c r="B19" i="5" l="1"/>
  <c r="A19" i="5"/>
  <c r="A8" i="5"/>
  <c r="I50" i="1" l="1"/>
  <c r="J50" i="1" l="1"/>
  <c r="M50" i="1" s="1"/>
  <c r="Q20" i="1"/>
  <c r="Q21" i="1"/>
  <c r="J22" i="1" l="1"/>
  <c r="I22" i="1"/>
  <c r="F138" i="1" l="1"/>
  <c r="F145" i="1" s="1"/>
  <c r="I38" i="1"/>
  <c r="G138" i="1"/>
  <c r="G145" i="1" s="1"/>
  <c r="J38" i="1"/>
  <c r="H22" i="1"/>
  <c r="A6" i="5"/>
  <c r="A42" i="1"/>
  <c r="E43" i="1" s="1"/>
  <c r="B6" i="5" s="1"/>
  <c r="B13" i="5" s="1"/>
  <c r="B43" i="1"/>
  <c r="A9" i="5" s="1"/>
  <c r="E138" i="1" l="1"/>
  <c r="E145" i="1" s="1"/>
  <c r="H38" i="1"/>
  <c r="I47" i="1" l="1"/>
  <c r="Q18" i="1"/>
  <c r="J47" i="1" l="1"/>
  <c r="M47" i="1" s="1"/>
  <c r="K22" i="1"/>
  <c r="Q19" i="1"/>
  <c r="Q22" i="1" s="1"/>
  <c r="K86" i="1" l="1"/>
  <c r="M86" i="1" s="1"/>
  <c r="O86" i="1" s="1"/>
  <c r="K95" i="1"/>
  <c r="M95" i="1" s="1"/>
  <c r="O95" i="1" s="1"/>
  <c r="K92" i="1"/>
  <c r="M92" i="1" s="1"/>
  <c r="O92" i="1" s="1"/>
  <c r="K83" i="1"/>
  <c r="M83" i="1" s="1"/>
  <c r="O83" i="1" s="1"/>
  <c r="K89" i="1"/>
  <c r="M89" i="1" s="1"/>
  <c r="O89" i="1" s="1"/>
  <c r="K80" i="1"/>
  <c r="M80" i="1" s="1"/>
  <c r="O80" i="1" s="1"/>
  <c r="K60" i="1"/>
  <c r="M60" i="1" s="1"/>
  <c r="O60" i="1" s="1"/>
  <c r="K63" i="1"/>
  <c r="K69" i="1"/>
  <c r="K57" i="1"/>
  <c r="M57" i="1" s="1"/>
  <c r="O57" i="1" s="1"/>
  <c r="K75" i="1"/>
  <c r="K72" i="1"/>
  <c r="M72" i="1" s="1"/>
  <c r="O72" i="1" s="1"/>
  <c r="K66" i="1"/>
  <c r="Q38" i="1"/>
  <c r="H138" i="1"/>
  <c r="H145" i="1" s="1"/>
  <c r="K38" i="1"/>
  <c r="M58" i="1"/>
  <c r="O58" i="1" s="1"/>
  <c r="M59" i="1"/>
  <c r="O59" i="1" s="1"/>
  <c r="M73" i="1"/>
  <c r="O73" i="1" s="1"/>
  <c r="M70" i="1"/>
  <c r="O70" i="1" s="1"/>
  <c r="M71" i="1"/>
  <c r="O71" i="1" s="1"/>
  <c r="M68" i="1"/>
  <c r="O68" i="1" s="1"/>
  <c r="M67" i="1"/>
  <c r="O67" i="1" s="1"/>
  <c r="M74" i="1"/>
  <c r="O74" i="1" s="1"/>
  <c r="M64" i="1"/>
  <c r="O64" i="1" s="1"/>
  <c r="M65" i="1"/>
  <c r="O65" i="1" s="1"/>
  <c r="M56" i="1"/>
  <c r="O56" i="1" s="1"/>
  <c r="M75" i="1"/>
  <c r="O75" i="1" s="1"/>
  <c r="M76" i="1"/>
  <c r="O76" i="1" s="1"/>
  <c r="K54" i="1"/>
  <c r="M77" i="1"/>
  <c r="O77" i="1" s="1"/>
  <c r="G43" i="1"/>
  <c r="G44" i="1" s="1"/>
  <c r="F22" i="1"/>
  <c r="C125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F38" i="1" l="1"/>
  <c r="C132" i="1" s="1"/>
  <c r="J132" i="1" s="1"/>
  <c r="C138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J138" i="1" l="1"/>
  <c r="C145" i="1"/>
  <c r="C5" i="5"/>
  <c r="D5" i="5"/>
  <c r="B124" i="1"/>
  <c r="A46" i="1"/>
  <c r="H61" i="1" s="1"/>
  <c r="M66" i="1"/>
  <c r="O66" i="1" s="1"/>
  <c r="M55" i="1"/>
  <c r="O55" i="1" s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H58" i="1" l="1"/>
  <c r="H73" i="1"/>
  <c r="H76" i="1"/>
  <c r="H67" i="1"/>
  <c r="H64" i="1"/>
  <c r="H70" i="1"/>
  <c r="H55" i="1"/>
  <c r="I43" i="1"/>
  <c r="J43" i="1" s="1"/>
  <c r="I44" i="1"/>
  <c r="J44" i="1" s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M44" i="1" l="1"/>
  <c r="M43" i="1"/>
  <c r="L52" i="16"/>
  <c r="J52" i="16"/>
  <c r="L53" i="16"/>
  <c r="L51" i="16"/>
  <c r="D6" i="17" l="1"/>
  <c r="E6" i="17"/>
  <c r="C15" i="17"/>
  <c r="D9" i="17" l="1"/>
  <c r="E9" i="17"/>
  <c r="D11" i="17" l="1"/>
  <c r="E11" i="17"/>
  <c r="B7" i="5" l="1"/>
  <c r="B6" i="17" l="1"/>
  <c r="B9" i="17" l="1"/>
  <c r="B125" i="1" l="1"/>
  <c r="B11" i="17"/>
  <c r="E15" i="17" l="1"/>
  <c r="D15" i="17" l="1"/>
  <c r="C6" i="17" l="1"/>
  <c r="C9" i="17" l="1"/>
  <c r="C11" i="17" l="1"/>
  <c r="B2" i="5" l="1"/>
  <c r="B3" i="5"/>
  <c r="A4" i="5"/>
  <c r="A3" i="5"/>
  <c r="A2" i="5"/>
  <c r="B4" i="5"/>
  <c r="B123" i="1" l="1"/>
  <c r="B5" i="5"/>
  <c r="B5" i="17"/>
  <c r="M63" i="1"/>
  <c r="O63" i="1" s="1"/>
  <c r="M69" i="1"/>
  <c r="O69" i="1" s="1"/>
  <c r="M54" i="1" l="1"/>
  <c r="O54" i="1" s="1"/>
  <c r="B15" i="17"/>
</calcChain>
</file>

<file path=xl/sharedStrings.xml><?xml version="1.0" encoding="utf-8"?>
<sst xmlns="http://schemas.openxmlformats.org/spreadsheetml/2006/main" count="1412" uniqueCount="459">
  <si>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</si>
  <si>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</si>
  <si>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</si>
  <si>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</si>
  <si>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</si>
  <si>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</si>
  <si>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</si>
  <si>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</si>
  <si>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>THAM KHẢO CÁCH MAY: MẪU PHOTO MÃ 118524  MÙA FA23 MÀU BLACK CHUYỂN CÙNG TÁC NGHIỆP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</si>
  <si>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</si>
  <si>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</si>
  <si>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</si>
  <si>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</si>
  <si>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</si>
  <si>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</si>
  <si>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</si>
  <si>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FA23 PRODUCTION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</si>
  <si>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</si>
  <si>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</si>
  <si>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</si>
  <si>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</si>
  <si>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</si>
  <si>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</si>
  <si>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</si>
  <si>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</si>
  <si>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</si>
  <si>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</si>
  <si>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</si>
  <si>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</si>
  <si>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</si>
  <si>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</si>
  <si>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</si>
  <si>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</si>
  <si>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</si>
  <si>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</si>
  <si>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</si>
  <si>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</si>
  <si>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</si>
  <si>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</si>
  <si>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</si>
  <si>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</si>
  <si>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</si>
  <si>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</si>
  <si>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</si>
  <si>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</si>
  <si>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</si>
  <si>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</si>
  <si>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GREY HEATHER</t>
  </si>
  <si>
    <t>WASHED BURGUNDY</t>
  </si>
  <si>
    <t>LIME</t>
  </si>
  <si>
    <t>GREEN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</si>
  <si>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</si>
  <si>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</si>
  <si>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</si>
  <si>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</si>
  <si>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</si>
  <si>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</si>
  <si>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</si>
  <si>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</si>
  <si>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</si>
  <si>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</si>
  <si>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</si>
  <si>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IN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</si>
  <si>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</si>
  <si>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</si>
  <si>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</si>
  <si>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</si>
  <si>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</si>
  <si>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</si>
  <si>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</si>
  <si>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</si>
  <si>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</si>
  <si>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</si>
  <si>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</si>
  <si>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</si>
  <si>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</si>
  <si>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</si>
  <si>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</si>
  <si>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</si>
  <si>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</si>
  <si>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</si>
  <si>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</si>
  <si>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</si>
  <si>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</si>
  <si>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</si>
  <si>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</si>
  <si>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</si>
  <si>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</si>
  <si>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</si>
  <si>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</si>
  <si>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</si>
  <si>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</si>
  <si>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</si>
  <si>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</si>
  <si>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</si>
  <si>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</si>
  <si>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</si>
  <si>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</si>
  <si>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</si>
  <si>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</si>
  <si>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</si>
  <si>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</si>
  <si>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</si>
  <si>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</si>
  <si>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PCS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</si>
  <si>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</si>
  <si>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</si>
  <si>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</si>
  <si>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</si>
  <si>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</si>
  <si>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</si>
  <si>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</si>
  <si>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</si>
  <si>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</si>
  <si>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</si>
  <si>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</si>
  <si>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</si>
  <si>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</si>
  <si>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</si>
  <si>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STICKER DÁN THÙNG</t>
  </si>
  <si>
    <t>YELLOW/
RED/
ORANGE/
WHITE</t>
  </si>
  <si>
    <t>03</t>
  </si>
  <si>
    <t>04</t>
  </si>
  <si>
    <t>05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</si>
  <si>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</si>
  <si>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</si>
  <si>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</si>
  <si>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</si>
  <si>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</si>
  <si>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</si>
  <si>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</si>
  <si>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</si>
  <si>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</si>
  <si>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</si>
  <si>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</si>
  <si>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</si>
  <si>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</si>
  <si>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</si>
  <si>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</si>
  <si>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</si>
  <si>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</si>
  <si>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</si>
  <si>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DUYỆT HÌNH THÊU THEO</t>
  </si>
  <si>
    <t>WHITE EU-870</t>
  </si>
  <si>
    <t>1.5” WIDTH</t>
  </si>
  <si>
    <t>DUYỆT THEO MẪU PHOTOSHOOT TRƯỚC WASH</t>
  </si>
  <si>
    <t>DUYỆT THEO MẪU PHOTOSHOOT TRƯỚC WASH CHUYỂN MS TIÊN 8/2/22</t>
  </si>
  <si>
    <t>THÔNG TIN ĐỊNH VỊ HÌNH THÊU</t>
  </si>
  <si>
    <t>ĐỊNH VỊ HÌNH THÊU: TỪ ĐỈNH VAI ĐẾN ĐỈNH HÌNH THÊU</t>
  </si>
  <si>
    <t>TỪ GIỮA TRƯỚC</t>
  </si>
  <si>
    <r>
      <t>WASH:</t>
    </r>
    <r>
      <rPr>
        <sz val="22"/>
        <rFont val="Muli"/>
      </rPr>
      <t xml:space="preserve"> </t>
    </r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</si>
  <si>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</si>
  <si>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</si>
  <si>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</si>
  <si>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</si>
  <si>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</si>
  <si>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</si>
  <si>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</si>
  <si>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</si>
  <si>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</si>
  <si>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</si>
  <si>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</si>
  <si>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</si>
  <si>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THÚY NGUYỄN - 252</t>
  </si>
  <si>
    <t>TÁC NGHIỆP MAY MẪU PROTO: THAM KHẢO RẬP THEO MÃ SS24WR000 + THAM KHẢO CÁCH MAY THEO TÀI LIỆU</t>
  </si>
  <si>
    <t>A15  SS25   S2734</t>
  </si>
  <si>
    <t xml:space="preserve">SS25WR000 </t>
  </si>
  <si>
    <t>Paneled Basketball Short</t>
  </si>
  <si>
    <t xml:space="preserve">SS25 </t>
  </si>
  <si>
    <t>SHORTS</t>
  </si>
  <si>
    <t>MAINLINE</t>
  </si>
  <si>
    <t>MESH 100% POLY 224gsm</t>
  </si>
  <si>
    <t>100% POLY</t>
  </si>
  <si>
    <t>152 CM</t>
  </si>
  <si>
    <t>ALD</t>
  </si>
  <si>
    <t>XS</t>
  </si>
  <si>
    <t>PRISTINE</t>
  </si>
  <si>
    <t>PAUL'S SAMPLE</t>
  </si>
  <si>
    <t>SHIPPING SAMPLE</t>
  </si>
  <si>
    <t>Green / Yellow</t>
  </si>
  <si>
    <t>Laurel Oak / Pristine</t>
  </si>
  <si>
    <t>NCC: Huamin</t>
  </si>
  <si>
    <t>LỖI VẢI (DEFECT)
+ ĐẦU KHÚC</t>
  </si>
  <si>
    <t>SỐ LƯỢNG CẦN CẤP CHO TEST INHOUSE</t>
  </si>
  <si>
    <t>SỐ LƯỢNG CẦN CẤP CHO TEST OUTSOURCE</t>
  </si>
  <si>
    <t>VẢI CHÍNH + LINING</t>
  </si>
  <si>
    <t>TRICOT 100% POLYESTER SHINY TRICOT 170GSM 155CM</t>
  </si>
  <si>
    <t>MIẾNG PHỐI (2 LỚP) + LÓT TÚI</t>
  </si>
  <si>
    <t>C2300246_RIB 2X2_96% COTTON 4% SPANDEX_500GSM</t>
  </si>
  <si>
    <t>LƯNG QUẦN</t>
  </si>
  <si>
    <t>VẢI CHÍNH + LÓT TÚI + LÓT QUẦN</t>
  </si>
  <si>
    <t>Abundant Green</t>
  </si>
  <si>
    <t>ALSS24P0276002H00K
LOT 2311-152: 507 M</t>
  </si>
  <si>
    <t>MIẾNG PHỐI</t>
  </si>
  <si>
    <t xml:space="preserve"> Spectra Yellow </t>
  </si>
  <si>
    <t>ALSS24P0276005H00K
LOT 2311-154 CẤP TRIỆT TIÊU 83M</t>
  </si>
  <si>
    <t xml:space="preserve">Laurel oak </t>
  </si>
  <si>
    <t>ALSS24P0276003H00K
LOT 2311-153  CẤP ĐỦ 672M</t>
  </si>
  <si>
    <t>Pristine</t>
  </si>
  <si>
    <t>ALSS24P0276006H00K LOT '2311-157 CẤP TRIỆT TIÊU 111M</t>
  </si>
  <si>
    <t>JET BLACK</t>
  </si>
  <si>
    <t>GR9169</t>
  </si>
  <si>
    <t>GR9183</t>
  </si>
  <si>
    <t>CHỈ 40/2 MAY PHỐI</t>
  </si>
  <si>
    <t xml:space="preserve">Spectra Yellow </t>
  </si>
  <si>
    <t>YE2629</t>
  </si>
  <si>
    <t>BE7144</t>
  </si>
  <si>
    <t>CHỈ 40/2 MAY DÂY TAPE</t>
  </si>
  <si>
    <t>BRIGHT WHITE</t>
  </si>
  <si>
    <t>K8072</t>
  </si>
  <si>
    <t>NHÃN CHÍNH ALD - ML03</t>
  </si>
  <si>
    <t>NHÃN THÀNH PHẦN 100% POLY ALD-COO-301</t>
  </si>
  <si>
    <t>DÂY PIPING</t>
  </si>
  <si>
    <t>PO. A15-0307</t>
  </si>
  <si>
    <t xml:space="preserve">DÂY LUỒN TRÒN COTTON 5MM GÚT ĐẦU </t>
  </si>
  <si>
    <t>Bright White 11-0601 TCX</t>
  </si>
  <si>
    <t>PO. A15-0307, CHI TIẾT THEO SIZE BÊN DƯỚI</t>
  </si>
  <si>
    <t>THUN 5CM</t>
  </si>
  <si>
    <t>UPC STICKER 3" X 2"</t>
  </si>
  <si>
    <t>BLUE NIGHTS</t>
  </si>
  <si>
    <t>GANACHE</t>
  </si>
  <si>
    <t>SILVER MIX</t>
  </si>
  <si>
    <t>THẺ BÀI ALD ALD-T06P</t>
  </si>
  <si>
    <t>BAO POLYBAG - 15" X 18" CODE: ALD PB02-R</t>
  </si>
  <si>
    <t>BAO BIG POLYBAG 100X120CM</t>
  </si>
  <si>
    <t>THÙNG CARTON 60CM (L) *40CM (W)* 30CM (H)</t>
  </si>
  <si>
    <t>TẤM LÓT THÙNG</t>
  </si>
  <si>
    <t>THÔNG TIN SAU</t>
  </si>
  <si>
    <t>ĐỊNH VỊ HÌNH IN THÂN TRƯỚC TRÁI, TỪ MÉP LAI QUẦN LÊN</t>
  </si>
  <si>
    <t>ĐỊNH VỊ HÌNH IN THÂN TRƯỚC TRÁI, TỪ ĐƯỜN MAY SƯỜN</t>
  </si>
  <si>
    <t>ĐỊNH VỊ HÌNH IN "NB" THÂN TRƯỚC TRÁI, TỪ MÉP TRÊN LƯNG QUẦN XUỐNG</t>
  </si>
  <si>
    <t>ĐỊNH VỊ HÌNH IN THÂN TRƯỚC TRÁI, TỪ ĐƯƠNG MAY SƯỜN VÀO</t>
  </si>
  <si>
    <r>
      <t>THÊU :</t>
    </r>
    <r>
      <rPr>
        <b/>
        <sz val="28"/>
        <rFont val="Muli"/>
      </rPr>
      <t xml:space="preserve"> </t>
    </r>
  </si>
  <si>
    <t>KHÔNG THÊU</t>
  </si>
  <si>
    <t>THEO S/O DUYỆT NGÀY 1/9/2023</t>
  </si>
  <si>
    <t>DUNG SAI</t>
  </si>
  <si>
    <r>
      <t>WASH:</t>
    </r>
    <r>
      <rPr>
        <sz val="24"/>
        <rFont val="Muli"/>
      </rPr>
      <t xml:space="preserve"> </t>
    </r>
  </si>
  <si>
    <t>KHÔNG WASH</t>
  </si>
  <si>
    <t>DUYỆT THEO MẪU PHOTOSHOOT TRƯỚC WASH MÀU GREY HEATHER ĐÃ CHUYỂN 7/2/23</t>
  </si>
  <si>
    <t>XEM TÀI LIỆU ĐÍNH KÈM</t>
  </si>
  <si>
    <t xml:space="preserve"> </t>
  </si>
  <si>
    <t>-SỐ LƯỢNG + CHIỀU DÀI DÂY LUỒN</t>
  </si>
  <si>
    <t>MÀU/ SIZE</t>
  </si>
  <si>
    <t>CHIỀU DÀI DÂYTHEO SIZE ( INCH)</t>
  </si>
  <si>
    <t>CHIỀU DÀI DÂYTHEO SIZE ( cm)</t>
  </si>
  <si>
    <t>ORDER</t>
  </si>
  <si>
    <t>THÀNH PHẦN</t>
  </si>
  <si>
    <t>CHỈ</t>
  </si>
  <si>
    <t>DƯỚI TRA LƯNG 1/4'' ĐÍNH 4 CẠNH GÓC NHÃN</t>
  </si>
  <si>
    <t>BÊN TRONG SƯỜN TRÁI NGƯỜI MẶC, 5 INCH TỪ CẠNH DƯỚI LƯNG QUẦN XUỐNG</t>
  </si>
  <si>
    <t>GẮN TẠI BÁN THÀNH PHẨM PHỐI GIỮA 2 PHỐI THÂN</t>
  </si>
  <si>
    <t>LUỒN TẠI LƯNG QUẦN</t>
  </si>
  <si>
    <t>TẠI ĐẦU DÂY KÉO TÚI</t>
  </si>
  <si>
    <t>THEO QUY CÁCH ĐÓNG GÓI</t>
  </si>
  <si>
    <t>BÊN TRONG THÙNG</t>
  </si>
  <si>
    <t>TẤM LÓT THÙNG, THÙNG CARTON 60CM (L) *40CM (W)* 30CM (H)</t>
  </si>
  <si>
    <t xml:space="preserve">THÔNG SỐ </t>
  </si>
  <si>
    <t xml:space="preserve">Sample Size: M
POINT OF MEASURE  </t>
  </si>
  <si>
    <t xml:space="preserve">CODE   </t>
  </si>
  <si>
    <t xml:space="preserve"> HOW TO MEASURE   </t>
  </si>
  <si>
    <t xml:space="preserve">CRITICAL  </t>
  </si>
  <si>
    <t xml:space="preserve"> TYPE  </t>
  </si>
  <si>
    <t xml:space="preserve">TOLERANCE </t>
  </si>
  <si>
    <t>EXPECTED</t>
  </si>
  <si>
    <t xml:space="preserve"> 1ST FIT - RCVD</t>
  </si>
  <si>
    <t xml:space="preserve">VARIANCE </t>
  </si>
  <si>
    <t>ADJUST BY +/-</t>
  </si>
  <si>
    <t>REVISED SPEC</t>
  </si>
  <si>
    <t>MEASUREMENT NOTES</t>
  </si>
  <si>
    <t>WAISTBAND TOPSTITCHING HEIGHT, TOTAL</t>
  </si>
  <si>
    <t>CAO LƯNG QUẦN</t>
  </si>
  <si>
    <t>WV</t>
  </si>
  <si>
    <t>false</t>
  </si>
  <si>
    <t>Full</t>
  </si>
  <si>
    <t>1/8 in</t>
  </si>
  <si>
    <t>2 1/4 in</t>
  </si>
  <si>
    <t>WAIST CIRCUMFERENCE - RELAXED</t>
  </si>
  <si>
    <t>LƯNG QUẦN NGUYÊN VÒNG ĐO ÊM</t>
  </si>
  <si>
    <t>WV102</t>
  </si>
  <si>
    <t>ACROSS TOP EDGE OF WAISTBAND</t>
  </si>
  <si>
    <t>ĐO NGANG THEO MÉP DƯỚI LƯNG QUẦN</t>
  </si>
  <si>
    <t>true</t>
  </si>
  <si>
    <t>Half</t>
  </si>
  <si>
    <t>1/2 in</t>
  </si>
  <si>
    <t>33 in</t>
  </si>
  <si>
    <t>WAIST CIRCUMFERENCE - STRETCHED</t>
  </si>
  <si>
    <t>LƯNG QUẦN NGUYÊN VÒNG ĐO CĂNG</t>
  </si>
  <si>
    <t>WV103</t>
  </si>
  <si>
    <t>ACROSS THE TOP OF WAISTBAND</t>
  </si>
  <si>
    <t>ĐO NGANG THEO MÉP TRÊN LƯNG QUẦN</t>
  </si>
  <si>
    <t>41 in</t>
  </si>
  <si>
    <t>WAIST DRAWCORD LENGTH - TOTAL</t>
  </si>
  <si>
    <t>DÀI DÂY LUỒN</t>
  </si>
  <si>
    <t>WV104</t>
  </si>
  <si>
    <t>1 in</t>
  </si>
  <si>
    <t>52 in</t>
  </si>
  <si>
    <t>FRONT RISE FROM CROTCH SM TO TOP EDGE</t>
  </si>
  <si>
    <t>ĐÁY TRƯỚC TỪ ĐƯỜNG MAY ĐÁY ĐẾN MÉP TRÊN LƯNG</t>
  </si>
  <si>
    <t>WV105</t>
  </si>
  <si>
    <t>FROM FRONT CROTCH SEAM TO TOP EDGE OF FRONT WAISTBAND</t>
  </si>
  <si>
    <t>TỪ ĐƯỜNG MAY ĐÁY TRƯỚC  ĐẾN MÉP TRÊN LƯNG</t>
  </si>
  <si>
    <t>1/4 in</t>
  </si>
  <si>
    <t>13 1/4 in</t>
  </si>
  <si>
    <t>BACK RISE FROM CROTCH SM TO TOP EDGE</t>
  </si>
  <si>
    <t>ĐÁY SAU TỪ ĐƯỜNG MAY ĐÁY ĐẾN MÉP TRÊN LƯNG</t>
  </si>
  <si>
    <t>WV106</t>
  </si>
  <si>
    <t>FROM BACK CROTCH SEAM TO TOP EDGE OF BACK WAISTBAND</t>
  </si>
  <si>
    <t>TỪ ĐƯỜNG MAY ĐÁY SAU ĐẾN MÉP TRÊN LƯNG</t>
  </si>
  <si>
    <t>16 3/4 in</t>
  </si>
  <si>
    <t>LOW HIP POSITION BELOW WB TOP EDGE</t>
  </si>
  <si>
    <t>MÔNG VỊ TRÍ DƯỚI LƯNG TRÊN QUẦN</t>
  </si>
  <si>
    <t>WV107</t>
  </si>
  <si>
    <t>MEAS. X" DOWN FROM TOP EDGE OF WAISTBAND</t>
  </si>
  <si>
    <t>HẠ TỪ MÉP TRÊN LƯNG QUẦN XUỐNG</t>
  </si>
  <si>
    <t>0 in</t>
  </si>
  <si>
    <t>8 in</t>
  </si>
  <si>
    <t>LOW HIP CIRCUMFERENCE</t>
  </si>
  <si>
    <t>MÔNG NGUYÊN VÒNG</t>
  </si>
  <si>
    <t>3PT MEAS. - FROM WR SIDE SEAM, CF, TO WL SIDE SEAM</t>
  </si>
  <si>
    <t>3 ĐIỂM - TỪ ĐƯỜNG MAY SƯỜN PHẢI, GIỮA THÂN TRƯỚC ĐẾN SƯỜN TRÁI</t>
  </si>
  <si>
    <t>46 in</t>
  </si>
  <si>
    <t>THIGH CIRC. AT 1" BELOW CROTCH SM</t>
  </si>
  <si>
    <t>ĐÙI TẠI DƯỚI ĐƯỜNG MAY ĐÁY 1''</t>
  </si>
  <si>
    <t>WV109</t>
  </si>
  <si>
    <t>MEAS. AT 1" BELOW CROTCH, ACROSS TO SIDE SEAM</t>
  </si>
  <si>
    <t>HẠ 1'' DƯỚI ĐƯỜNG MAY ĐÁY</t>
  </si>
  <si>
    <t>29 in</t>
  </si>
  <si>
    <t>LEG OPENING CIRC. AT BOTTOM EDGE (SHORTS)</t>
  </si>
  <si>
    <t>RỘNG ỐNG QUẦN TẠI MÉP</t>
  </si>
  <si>
    <t>WV130</t>
  </si>
  <si>
    <t>MEASURE AT LEG EDGE</t>
  </si>
  <si>
    <t>ĐO TẠI MÉP QUẦN</t>
  </si>
  <si>
    <t>28 1/2 in</t>
  </si>
  <si>
    <t>BOTTOM HEM TOPSTITCHING HEIGHT</t>
  </si>
  <si>
    <t>CAO LAI QUẦN</t>
  </si>
  <si>
    <t>WV016</t>
  </si>
  <si>
    <t>INSEAM (SHORTS)</t>
  </si>
  <si>
    <t>DÀI SƯỜN TRONG</t>
  </si>
  <si>
    <t>WV131</t>
  </si>
  <si>
    <t>MEAS. ALONG THE INSEAM FROM CF CROTCH SEAM TO LEG EDGE</t>
  </si>
  <si>
    <t>ĐO DỌC THEO ĐƯỜNG MAY TỪ ĐM ĐÁY ĐẾN MÉP</t>
  </si>
  <si>
    <t>6 in</t>
  </si>
  <si>
    <t>ON SEAM POCKET OPENING POSITION FROM TOP OF WAISTBAND</t>
  </si>
  <si>
    <t>VỊ TRÍ TÚI SƯỜN TỪ ĐẦU QUẦN</t>
  </si>
  <si>
    <t>w3ITJp</t>
  </si>
  <si>
    <t>2 3/4 in</t>
  </si>
  <si>
    <t>ON SEAM POCKET OPENING LENGTH</t>
  </si>
  <si>
    <t>DÀI TÚI SƯỜN</t>
  </si>
  <si>
    <t>2E7nu7</t>
  </si>
  <si>
    <t>6 1/2 in</t>
  </si>
  <si>
    <t>BACK POCKET PLACEMENT BELOW WB TOP EDGE @ SIDE BY CB</t>
  </si>
  <si>
    <t>VỊ TRÍ TÚI SAU DƯỚI ĐẦU LƯNG TẠI CẠNH QUA GIỮA SAU</t>
  </si>
  <si>
    <t>3 7/8 in</t>
  </si>
  <si>
    <t>BACK POCKET PLACEMENT BELOW WB TOP EDGE @ SIDE BY SIDE SEAM</t>
  </si>
  <si>
    <t xml:space="preserve">VỊ TRÍ TÚI SAU DƯỚI ĐẦU LƯNG TẠI CẠCH QUA ĐƯỜNG MAY SƯỜN </t>
  </si>
  <si>
    <t>3 5/8 in</t>
  </si>
  <si>
    <t>BACK POCKET PLACEMENT FROM CB SEAM</t>
  </si>
  <si>
    <t>VỊ TRÍ TÚI SAU TỪ ĐƯỜNG MAY GIỮA SAU</t>
  </si>
  <si>
    <t>WV124</t>
  </si>
  <si>
    <t>FROM CB TO EDGE OF POCKET CLOSEST TO CB</t>
  </si>
  <si>
    <t>TỪ GIỮA SAU ĐẾN MÉP TÚI</t>
  </si>
  <si>
    <t>BACK POCKET HEIGHT AT CENTER</t>
  </si>
  <si>
    <t>CAO TÚI SAU TẠI GIỮA</t>
  </si>
  <si>
    <t>WV135</t>
  </si>
  <si>
    <t>BACK POCKET WIDTH AT TOP EDGE</t>
  </si>
  <si>
    <t>RỘNG TÚI SAU TẠI MÉP TRÊN</t>
  </si>
  <si>
    <t>WV134</t>
  </si>
  <si>
    <t>5 3/8 in</t>
  </si>
  <si>
    <t>1 3/4 in</t>
  </si>
  <si>
    <t>ĐO NGANG THEO MÉP LƯNG QUẦN</t>
  </si>
  <si>
    <t>32 1/2 in</t>
  </si>
  <si>
    <t>-1/2 in</t>
  </si>
  <si>
    <t>FROM FRONT CROTCH SEAM TO TOP EDGE
OF FRONT WAISTBAND</t>
  </si>
  <si>
    <t>TỪ ĐƯỜNG MAY ĐÁY TRƯỚC ĐẾN MÉP TRÊN LƯNG</t>
  </si>
  <si>
    <t>-7/8 in</t>
  </si>
  <si>
    <t>12 3/8 in</t>
  </si>
  <si>
    <t>REDUCE BY 7/8" GIẢM 7/8''</t>
  </si>
  <si>
    <t>17 in</t>
  </si>
  <si>
    <t>-5/8 in</t>
  </si>
  <si>
    <t>16 1/8 in</t>
  </si>
  <si>
    <t>MEAS. AT 1" BELOW
CROTCH, ACROSS TO SIDE SEAM</t>
  </si>
  <si>
    <t>MÉP QUẦN</t>
  </si>
  <si>
    <t>28 3/4 in</t>
  </si>
  <si>
    <t>INCREASE BY 1/2" TĂNG 1/2''</t>
  </si>
  <si>
    <t>6 1/8 in</t>
  </si>
  <si>
    <t>-3/4 in</t>
  </si>
  <si>
    <t>5 1/4 in</t>
  </si>
  <si>
    <t>VỊ TRÍ TÚI SƯỜN TỪ ĐỈNH QUẦN</t>
  </si>
  <si>
    <t>2 1/8 in</t>
  </si>
  <si>
    <t>-1/8 in</t>
  </si>
  <si>
    <t>6 3/8 in</t>
  </si>
  <si>
    <t>SIDE SLIT LENGTH</t>
  </si>
  <si>
    <t>CAO XẺ TÀ</t>
  </si>
  <si>
    <t>2 in</t>
  </si>
  <si>
    <t>1 7/8 in</t>
  </si>
  <si>
    <t>SIDE PANEL HEIGHT AT SIDE SEAM</t>
  </si>
  <si>
    <t>CAO PHỐI TẠI SƯỜN NGOÀI</t>
  </si>
  <si>
    <t>MEASURE FROM TOP EDGE OF PANEL TO LEG OPENING BOTTOM EDGE</t>
  </si>
  <si>
    <t>ĐO TỪ ĐỈNH CỦA MIẾNG PHỐI ĐẾN MÉP LAI</t>
  </si>
  <si>
    <t>7 in</t>
  </si>
  <si>
    <t>SIDE PANEL HEIGHT AT INSEAM</t>
  </si>
  <si>
    <t>CAO PHỐI TẠI SƯỜN TRONG</t>
  </si>
  <si>
    <t>REDUCE BY 1/2" GIẢM 1/2''</t>
  </si>
  <si>
    <t xml:space="preserve">VẢI CHÍNH 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</si>
  <si>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</si>
  <si>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</si>
  <si>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</si>
  <si>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</si>
  <si>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</si>
  <si>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</si>
  <si>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</si>
  <si>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</si>
  <si>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</si>
  <si>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</si>
  <si>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</si>
  <si>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</si>
  <si>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</si>
  <si>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</si>
  <si>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</si>
  <si>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</si>
  <si>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</si>
  <si>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</si>
  <si>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</si>
  <si>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</si>
  <si>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</si>
  <si>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</si>
  <si>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</si>
  <si>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</si>
  <si>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</si>
  <si>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</si>
  <si>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</si>
  <si>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</si>
  <si>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</si>
  <si>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</si>
  <si>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</si>
  <si>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</si>
  <si>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</si>
  <si>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</si>
  <si>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</si>
  <si>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</si>
  <si>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</si>
  <si>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</si>
  <si>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</si>
  <si>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</si>
  <si>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</si>
  <si>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</si>
  <si>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</si>
  <si>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</si>
  <si>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</si>
  <si>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</si>
  <si>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</si>
  <si>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</si>
  <si>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</si>
  <si>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</si>
  <si>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</si>
  <si>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</si>
  <si>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PROTO - RCVD size M</t>
  </si>
  <si>
    <t>VARIANCE</t>
  </si>
  <si>
    <t>REVISED  SPEC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</si>
</sst>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</numFmts>
  <fonts count="1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sz val="10"/>
      <color rgb="FF000000"/>
      <name val="Times New Roman"/>
      <family val="1"/>
    </font>
    <font>
      <b/>
      <sz val="48"/>
      <color rgb="FF000000"/>
      <name val="Calibri"/>
      <family val="2"/>
      <scheme val="minor"/>
    </font>
    <font>
      <b/>
      <sz val="36"/>
      <name val="Calibri"/>
      <family val="2"/>
      <scheme val="minor"/>
    </font>
    <font>
      <sz val="24"/>
      <color rgb="FF000000"/>
      <name val="Calibri"/>
      <family val="2"/>
      <scheme val="minor"/>
    </font>
    <font>
      <b/>
      <sz val="24"/>
      <name val="Calibri"/>
      <family val="2"/>
      <scheme val="minor"/>
    </font>
    <font>
      <sz val="24"/>
      <name val="Calibri"/>
      <family val="2"/>
      <scheme val="minor"/>
    </font>
    <font>
      <b/>
      <sz val="22"/>
      <color rgb="FF000000"/>
      <name val="Arial"/>
      <family val="2"/>
    </font>
    <font>
      <b/>
      <sz val="22"/>
      <color rgb="FF000000"/>
      <name val="Times New Roman"/>
      <family val="1"/>
    </font>
    <font>
      <b/>
      <sz val="22"/>
      <name val="Arial"/>
      <family val="2"/>
    </font>
    <font>
      <sz val="22"/>
      <color rgb="FF000000"/>
      <name val="Muli"/>
    </font>
    <font>
      <sz val="22"/>
      <color rgb="FF052937"/>
      <name val="Arial MT"/>
      <family val="2"/>
    </font>
    <font>
      <b/>
      <u/>
      <sz val="28"/>
      <name val="Muli"/>
    </font>
    <font>
      <b/>
      <u/>
      <sz val="24"/>
      <name val="Muli"/>
    </font>
    <font>
      <b/>
      <sz val="26"/>
      <color theme="9" tint="-0.249977111117893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18"/>
      <name val="Muli"/>
    </font>
    <font>
      <sz val="18"/>
      <color indexed="8"/>
      <name val="Muli"/>
    </font>
    <font>
      <sz val="16"/>
      <color indexed="8"/>
      <name val="Muli"/>
    </font>
    <font>
      <sz val="22"/>
      <name val="Arial"/>
      <family val="2"/>
    </font>
    <font>
      <sz val="22"/>
      <color rgb="FF062A37"/>
      <name val="Arial"/>
      <family val="2"/>
    </font>
    <font>
      <sz val="22"/>
      <color theme="1"/>
      <name val="Calibri"/>
      <family val="2"/>
      <scheme val="minor"/>
    </font>
    <font>
      <b/>
      <sz val="36"/>
      <color theme="9" tint="-0.249977111117893"/>
      <name val="Muli"/>
    </font>
    <font>
      <b/>
      <sz val="36"/>
      <color indexed="48"/>
      <name val="Muli"/>
    </font>
    <font>
      <sz val="20"/>
      <name val="Arial"/>
      <family val="2"/>
    </font>
    <font>
      <sz val="22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0FFF1"/>
      </patternFill>
    </fill>
    <fill>
      <patternFill patternType="solid">
        <fgColor rgb="FFF5FAFF"/>
      </patternFill>
    </fill>
    <fill>
      <patternFill patternType="solid">
        <fgColor rgb="FFF0FFF2"/>
      </patternFill>
    </fill>
    <fill>
      <patternFill patternType="solid">
        <fgColor rgb="FFFFEFF3"/>
      </patternFill>
    </fill>
  </fills>
  <borders count="71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130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4" fillId="0" borderId="0"/>
    <xf numFmtId="0" fontId="94" fillId="0" borderId="0"/>
  </cellStyleXfs>
  <cellXfs count="584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0" xfId="0" applyFont="1" applyFill="1" applyAlignment="1">
      <alignment vertical="center"/>
    </xf>
    <xf numFmtId="0" fontId="25" fillId="2" borderId="41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31" fillId="2" borderId="0" xfId="0" applyFont="1" applyFill="1" applyAlignment="1">
      <alignment horizontal="center" vertical="center" wrapText="1"/>
    </xf>
    <xf numFmtId="0" fontId="55" fillId="2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38" fillId="48" borderId="0" xfId="0" applyFont="1" applyFill="1" applyAlignment="1">
      <alignment vertical="center"/>
    </xf>
    <xf numFmtId="0" fontId="40" fillId="48" borderId="0" xfId="0" applyFont="1" applyFill="1" applyAlignment="1">
      <alignment horizontal="left" vertical="center"/>
    </xf>
    <xf numFmtId="176" fontId="49" fillId="2" borderId="50" xfId="0" applyNumberFormat="1" applyFont="1" applyFill="1" applyBorder="1" applyAlignment="1">
      <alignment horizontal="center" vertical="center"/>
    </xf>
    <xf numFmtId="3" fontId="49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1" fontId="53" fillId="2" borderId="0" xfId="0" applyNumberFormat="1" applyFont="1" applyFill="1" applyAlignment="1">
      <alignment vertical="center"/>
    </xf>
    <xf numFmtId="0" fontId="27" fillId="5" borderId="67" xfId="0" applyFont="1" applyFill="1" applyBorder="1" applyAlignment="1">
      <alignment vertical="center" wrapText="1"/>
    </xf>
    <xf numFmtId="0" fontId="27" fillId="5" borderId="21" xfId="0" applyFont="1" applyFill="1" applyBorder="1" applyAlignment="1">
      <alignment vertical="center" wrapText="1"/>
    </xf>
    <xf numFmtId="0" fontId="31" fillId="2" borderId="68" xfId="0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0" fontId="95" fillId="0" borderId="0" xfId="128" applyFont="1" applyAlignment="1">
      <alignment horizontal="left" vertical="center"/>
    </xf>
    <xf numFmtId="0" fontId="96" fillId="0" borderId="0" xfId="128" applyFont="1" applyAlignment="1">
      <alignment vertical="center" wrapText="1"/>
    </xf>
    <xf numFmtId="0" fontId="97" fillId="0" borderId="0" xfId="128" applyFont="1" applyAlignment="1">
      <alignment horizontal="left" vertical="center"/>
    </xf>
    <xf numFmtId="0" fontId="98" fillId="0" borderId="0" xfId="128" applyFont="1" applyAlignment="1">
      <alignment vertical="center" wrapText="1"/>
    </xf>
    <xf numFmtId="0" fontId="100" fillId="0" borderId="50" xfId="128" applyFont="1" applyBorder="1" applyAlignment="1">
      <alignment horizontal="center" vertical="center" wrapText="1"/>
    </xf>
    <xf numFmtId="0" fontId="101" fillId="0" borderId="50" xfId="128" applyFont="1" applyBorder="1" applyAlignment="1">
      <alignment horizontal="center" vertical="center" wrapText="1"/>
    </xf>
    <xf numFmtId="0" fontId="101" fillId="0" borderId="0" xfId="128" applyFont="1" applyAlignment="1">
      <alignment horizontal="center" vertical="center"/>
    </xf>
    <xf numFmtId="0" fontId="102" fillId="0" borderId="50" xfId="129" applyFont="1" applyBorder="1" applyAlignment="1">
      <alignment horizontal="left" vertical="center" wrapText="1"/>
    </xf>
    <xf numFmtId="0" fontId="94" fillId="0" borderId="0" xfId="128" applyAlignment="1">
      <alignment horizontal="left" vertical="top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0" borderId="50" xfId="128" applyFont="1" applyBorder="1" applyAlignment="1">
      <alignment horizontal="left" vertical="center" wrapText="1"/>
    </xf>
    <xf numFmtId="0" fontId="103" fillId="0" borderId="50" xfId="128" applyFont="1" applyBorder="1" applyAlignment="1">
      <alignment horizontal="left" vertical="center"/>
    </xf>
    <xf numFmtId="0" fontId="103" fillId="0" borderId="0" xfId="128" applyFont="1" applyAlignment="1">
      <alignment horizontal="left" vertical="center"/>
    </xf>
    <xf numFmtId="0" fontId="104" fillId="0" borderId="50" xfId="128" applyFont="1" applyBorder="1" applyAlignment="1">
      <alignment horizontal="left" vertical="center" wrapText="1"/>
    </xf>
    <xf numFmtId="0" fontId="50" fillId="2" borderId="0" xfId="0" applyFont="1" applyFill="1" applyAlignment="1">
      <alignment horizontal="left" vertical="center"/>
    </xf>
    <xf numFmtId="0" fontId="105" fillId="2" borderId="0" xfId="0" applyFont="1" applyFill="1" applyAlignment="1">
      <alignment horizontal="left" vertical="center"/>
    </xf>
    <xf numFmtId="0" fontId="51" fillId="2" borderId="0" xfId="0" applyFont="1" applyFill="1" applyAlignment="1">
      <alignment vertical="center" wrapText="1"/>
    </xf>
    <xf numFmtId="0" fontId="51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106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 wrapText="1"/>
    </xf>
    <xf numFmtId="0" fontId="48" fillId="2" borderId="0" xfId="0" applyFont="1" applyFill="1" applyAlignment="1">
      <alignment vertical="center" wrapText="1"/>
    </xf>
    <xf numFmtId="0" fontId="49" fillId="2" borderId="0" xfId="0" applyFont="1" applyFill="1" applyAlignment="1">
      <alignment horizontal="left" vertical="center"/>
    </xf>
    <xf numFmtId="0" fontId="103" fillId="0" borderId="50" xfId="128" applyFont="1" applyBorder="1" applyAlignment="1">
      <alignment horizontal="left" vertical="center" wrapText="1"/>
    </xf>
    <xf numFmtId="0" fontId="31" fillId="3" borderId="50" xfId="128" applyFont="1" applyFill="1" applyBorder="1" applyAlignment="1">
      <alignment horizontal="left" vertical="center" wrapText="1"/>
    </xf>
    <xf numFmtId="0" fontId="102" fillId="3" borderId="50" xfId="129" applyFont="1" applyFill="1" applyBorder="1" applyAlignment="1">
      <alignment horizontal="left" vertical="center" wrapText="1"/>
    </xf>
    <xf numFmtId="0" fontId="103" fillId="3" borderId="50" xfId="128" applyFont="1" applyFill="1" applyBorder="1" applyAlignment="1">
      <alignment horizontal="left" vertical="center"/>
    </xf>
    <xf numFmtId="0" fontId="103" fillId="3" borderId="0" xfId="128" applyFont="1" applyFill="1" applyAlignment="1">
      <alignment horizontal="left" vertical="center"/>
    </xf>
    <xf numFmtId="0" fontId="50" fillId="5" borderId="51" xfId="2" applyFont="1" applyFill="1" applyBorder="1" applyAlignment="1">
      <alignment horizontal="center" vertical="center" wrapText="1"/>
    </xf>
    <xf numFmtId="0" fontId="102" fillId="0" borderId="50" xfId="129" applyFont="1" applyBorder="1" applyAlignment="1">
      <alignment horizontal="center" vertical="center" wrapText="1"/>
    </xf>
    <xf numFmtId="0" fontId="102" fillId="0" borderId="50" xfId="129" applyFont="1" applyBorder="1" applyAlignment="1">
      <alignment vertical="center" wrapText="1"/>
    </xf>
    <xf numFmtId="0" fontId="31" fillId="0" borderId="50" xfId="128" applyFont="1" applyBorder="1" applyAlignment="1">
      <alignment horizontal="center" vertical="center" wrapText="1"/>
    </xf>
    <xf numFmtId="0" fontId="31" fillId="49" borderId="50" xfId="128" applyFont="1" applyFill="1" applyBorder="1" applyAlignment="1">
      <alignment horizontal="center" vertical="center" wrapText="1"/>
    </xf>
    <xf numFmtId="0" fontId="99" fillId="0" borderId="0" xfId="128" applyFont="1" applyAlignment="1">
      <alignment horizontal="center" vertical="center" wrapText="1"/>
    </xf>
    <xf numFmtId="0" fontId="31" fillId="3" borderId="50" xfId="128" applyFont="1" applyFill="1" applyBorder="1" applyAlignment="1">
      <alignment horizontal="center" vertical="center" wrapText="1"/>
    </xf>
    <xf numFmtId="0" fontId="94" fillId="0" borderId="0" xfId="128" applyAlignment="1">
      <alignment horizontal="center" vertical="top"/>
    </xf>
    <xf numFmtId="0" fontId="98" fillId="0" borderId="0" xfId="128" applyFont="1" applyAlignment="1">
      <alignment horizontal="center" vertical="center" wrapText="1"/>
    </xf>
    <xf numFmtId="0" fontId="53" fillId="5" borderId="50" xfId="2" applyFont="1" applyFill="1" applyBorder="1" applyAlignment="1">
      <alignment horizontal="center" vertical="center"/>
    </xf>
    <xf numFmtId="0" fontId="53" fillId="5" borderId="51" xfId="2" applyFont="1" applyFill="1" applyBorder="1" applyAlignment="1">
      <alignment horizontal="center" vertical="center" wrapText="1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3" fillId="5" borderId="50" xfId="2" applyFont="1" applyFill="1" applyBorder="1" applyAlignment="1">
      <alignment horizontal="center" vertical="center" wrapText="1"/>
    </xf>
    <xf numFmtId="1" fontId="53" fillId="5" borderId="51" xfId="2" applyNumberFormat="1" applyFont="1" applyFill="1" applyBorder="1" applyAlignment="1">
      <alignment horizontal="center" vertical="center" wrapText="1"/>
    </xf>
    <xf numFmtId="1" fontId="53" fillId="5" borderId="50" xfId="2" applyNumberFormat="1" applyFont="1" applyFill="1" applyBorder="1" applyAlignment="1">
      <alignment horizontal="center" vertical="center" wrapText="1"/>
    </xf>
    <xf numFmtId="0" fontId="107" fillId="2" borderId="1" xfId="0" applyFont="1" applyFill="1" applyBorder="1" applyAlignment="1">
      <alignment horizontal="left" vertical="center"/>
    </xf>
    <xf numFmtId="0" fontId="26" fillId="5" borderId="2" xfId="0" applyFont="1" applyFill="1" applyBorder="1" applyAlignment="1">
      <alignment vertical="center"/>
    </xf>
    <xf numFmtId="0" fontId="26" fillId="2" borderId="2" xfId="0" applyFont="1" applyFill="1" applyBorder="1" applyAlignment="1">
      <alignment vertical="center"/>
    </xf>
    <xf numFmtId="0" fontId="108" fillId="2" borderId="1" xfId="0" applyFont="1" applyFill="1" applyBorder="1" applyAlignment="1">
      <alignment horizontal="center" vertical="center"/>
    </xf>
    <xf numFmtId="0" fontId="107" fillId="3" borderId="0" xfId="0" applyFont="1" applyFill="1" applyAlignment="1">
      <alignment vertical="center"/>
    </xf>
    <xf numFmtId="0" fontId="26" fillId="4" borderId="1" xfId="0" quotePrefix="1" applyFont="1" applyFill="1" applyBorder="1" applyAlignment="1">
      <alignment horizontal="center" vertical="center"/>
    </xf>
    <xf numFmtId="0" fontId="107" fillId="2" borderId="1" xfId="0" applyFont="1" applyFill="1" applyBorder="1" applyAlignment="1">
      <alignment horizontal="center" vertical="center"/>
    </xf>
    <xf numFmtId="0" fontId="108" fillId="2" borderId="1" xfId="0" applyFont="1" applyFill="1" applyBorder="1" applyAlignment="1">
      <alignment horizontal="left" vertical="center"/>
    </xf>
    <xf numFmtId="1" fontId="26" fillId="2" borderId="2" xfId="0" applyNumberFormat="1" applyFont="1" applyFill="1" applyBorder="1" applyAlignment="1">
      <alignment horizontal="center" vertical="center"/>
    </xf>
    <xf numFmtId="0" fontId="26" fillId="2" borderId="2" xfId="62" applyNumberFormat="1" applyFont="1" applyFill="1" applyBorder="1" applyAlignment="1">
      <alignment horizontal="center" vertical="center"/>
    </xf>
    <xf numFmtId="3" fontId="26" fillId="2" borderId="2" xfId="0" applyNumberFormat="1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26" fillId="2" borderId="1" xfId="62" applyNumberFormat="1" applyFont="1" applyFill="1" applyBorder="1" applyAlignment="1">
      <alignment horizontal="center" vertical="center"/>
    </xf>
    <xf numFmtId="0" fontId="26" fillId="13" borderId="2" xfId="0" applyFont="1" applyFill="1" applyBorder="1" applyAlignment="1">
      <alignment horizontal="center" vertical="center"/>
    </xf>
    <xf numFmtId="1" fontId="26" fillId="13" borderId="2" xfId="0" applyNumberFormat="1" applyFont="1" applyFill="1" applyBorder="1" applyAlignment="1">
      <alignment vertical="center"/>
    </xf>
    <xf numFmtId="1" fontId="26" fillId="13" borderId="2" xfId="0" applyNumberFormat="1" applyFont="1" applyFill="1" applyBorder="1" applyAlignment="1">
      <alignment horizontal="center" vertical="center"/>
    </xf>
    <xf numFmtId="0" fontId="26" fillId="5" borderId="1" xfId="0" quotePrefix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right" vertical="center" wrapText="1"/>
    </xf>
    <xf numFmtId="0" fontId="26" fillId="2" borderId="3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right" vertical="center"/>
    </xf>
    <xf numFmtId="0" fontId="26" fillId="4" borderId="0" xfId="0" quotePrefix="1" applyFont="1" applyFill="1" applyAlignment="1">
      <alignment horizontal="center" vertical="center"/>
    </xf>
    <xf numFmtId="0" fontId="32" fillId="2" borderId="2" xfId="0" applyFont="1" applyFill="1" applyBorder="1" applyAlignment="1">
      <alignment vertical="center" wrapText="1"/>
    </xf>
    <xf numFmtId="0" fontId="109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2" borderId="0" xfId="0" quotePrefix="1" applyFont="1" applyFill="1" applyAlignment="1">
      <alignment horizontal="left" vertical="center"/>
    </xf>
    <xf numFmtId="166" fontId="26" fillId="2" borderId="0" xfId="0" applyNumberFormat="1" applyFont="1" applyFill="1" applyAlignment="1">
      <alignment horizontal="center" vertical="center"/>
    </xf>
    <xf numFmtId="0" fontId="58" fillId="2" borderId="0" xfId="0" quotePrefix="1" applyFont="1" applyFill="1" applyAlignment="1">
      <alignment horizontal="left" vertical="center"/>
    </xf>
    <xf numFmtId="0" fontId="40" fillId="2" borderId="0" xfId="0" applyFont="1" applyFill="1" applyAlignment="1">
      <alignment horizontal="left" vertical="center"/>
    </xf>
    <xf numFmtId="0" fontId="40" fillId="2" borderId="0" xfId="0" applyFont="1" applyFill="1" applyAlignment="1">
      <alignment vertical="center"/>
    </xf>
    <xf numFmtId="0" fontId="40" fillId="2" borderId="0" xfId="0" applyFont="1" applyFill="1" applyAlignment="1">
      <alignment vertical="center" wrapText="1"/>
    </xf>
    <xf numFmtId="166" fontId="40" fillId="2" borderId="0" xfId="0" applyNumberFormat="1" applyFont="1" applyFill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110" fillId="2" borderId="50" xfId="0" applyFont="1" applyFill="1" applyBorder="1" applyAlignment="1">
      <alignment horizontal="center" vertical="center" wrapText="1"/>
    </xf>
    <xf numFmtId="0" fontId="32" fillId="2" borderId="50" xfId="0" applyFont="1" applyFill="1" applyBorder="1" applyAlignment="1">
      <alignment vertical="center"/>
    </xf>
    <xf numFmtId="0" fontId="32" fillId="2" borderId="50" xfId="0" applyFont="1" applyFill="1" applyBorder="1" applyAlignment="1">
      <alignment vertical="center" wrapText="1"/>
    </xf>
    <xf numFmtId="1" fontId="32" fillId="2" borderId="50" xfId="0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50" fillId="2" borderId="0" xfId="0" applyFont="1" applyFill="1" applyAlignment="1">
      <alignment vertical="center"/>
    </xf>
    <xf numFmtId="0" fontId="34" fillId="2" borderId="50" xfId="0" applyFont="1" applyFill="1" applyBorder="1" applyAlignment="1">
      <alignment horizontal="center" vertical="center"/>
    </xf>
    <xf numFmtId="1" fontId="111" fillId="0" borderId="50" xfId="1" applyNumberFormat="1" applyFont="1" applyBorder="1" applyAlignment="1">
      <alignment horizontal="center" vertical="center" wrapText="1"/>
    </xf>
    <xf numFmtId="1" fontId="112" fillId="0" borderId="50" xfId="1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/>
    </xf>
    <xf numFmtId="1" fontId="40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 wrapText="1"/>
    </xf>
    <xf numFmtId="0" fontId="53" fillId="12" borderId="51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1" fontId="53" fillId="0" borderId="51" xfId="2" applyNumberFormat="1" applyFont="1" applyBorder="1" applyAlignment="1">
      <alignment horizontal="center" vertical="center" wrapText="1"/>
    </xf>
    <xf numFmtId="1" fontId="52" fillId="0" borderId="51" xfId="2" applyNumberFormat="1" applyFont="1" applyBorder="1" applyAlignment="1">
      <alignment horizontal="center" vertical="center" wrapText="1"/>
    </xf>
    <xf numFmtId="0" fontId="113" fillId="0" borderId="50" xfId="0" applyFont="1" applyBorder="1" applyAlignment="1">
      <alignment vertical="top" wrapText="1"/>
    </xf>
    <xf numFmtId="0" fontId="102" fillId="0" borderId="50" xfId="0" applyFont="1" applyBorder="1" applyAlignment="1">
      <alignment vertical="top" wrapText="1"/>
    </xf>
    <xf numFmtId="0" fontId="113" fillId="50" borderId="50" xfId="0" applyFont="1" applyFill="1" applyBorder="1" applyAlignment="1">
      <alignment vertical="top" wrapText="1"/>
    </xf>
    <xf numFmtId="0" fontId="113" fillId="51" borderId="50" xfId="0" applyFont="1" applyFill="1" applyBorder="1" applyAlignment="1">
      <alignment vertical="top" wrapText="1"/>
    </xf>
    <xf numFmtId="0" fontId="115" fillId="0" borderId="50" xfId="0" applyFont="1" applyBorder="1" applyAlignment="1">
      <alignment vertical="top" wrapText="1"/>
    </xf>
    <xf numFmtId="0" fontId="113" fillId="52" borderId="50" xfId="0" applyFont="1" applyFill="1" applyBorder="1" applyAlignment="1">
      <alignment vertical="top" wrapText="1"/>
    </xf>
    <xf numFmtId="0" fontId="114" fillId="0" borderId="50" xfId="0" applyFont="1" applyBorder="1" applyAlignment="1">
      <alignment vertical="top" wrapText="1"/>
    </xf>
    <xf numFmtId="0" fontId="32" fillId="0" borderId="50" xfId="0" quotePrefix="1" applyFont="1" applyBorder="1" applyAlignment="1">
      <alignment horizontal="center" vertical="center"/>
    </xf>
    <xf numFmtId="0" fontId="29" fillId="3" borderId="50" xfId="0" applyFont="1" applyFill="1" applyBorder="1" applyAlignment="1">
      <alignment vertical="center"/>
    </xf>
    <xf numFmtId="0" fontId="43" fillId="2" borderId="50" xfId="0" quotePrefix="1" applyFont="1" applyFill="1" applyBorder="1" applyAlignment="1">
      <alignment horizontal="left" vertical="center" wrapText="1"/>
    </xf>
    <xf numFmtId="0" fontId="43" fillId="47" borderId="50" xfId="0" quotePrefix="1" applyFont="1" applyFill="1" applyBorder="1" applyAlignment="1">
      <alignment horizontal="left" vertical="center" wrapText="1"/>
    </xf>
    <xf numFmtId="0" fontId="110" fillId="47" borderId="50" xfId="0" applyFont="1" applyFill="1" applyBorder="1" applyAlignment="1">
      <alignment horizontal="center" vertical="center" wrapText="1"/>
    </xf>
    <xf numFmtId="0" fontId="32" fillId="47" borderId="50" xfId="0" applyFont="1" applyFill="1" applyBorder="1" applyAlignment="1">
      <alignment vertical="center" wrapText="1"/>
    </xf>
    <xf numFmtId="1" fontId="32" fillId="47" borderId="50" xfId="0" applyNumberFormat="1" applyFont="1" applyFill="1" applyBorder="1" applyAlignment="1">
      <alignment horizontal="center" vertical="center"/>
    </xf>
    <xf numFmtId="1" fontId="53" fillId="5" borderId="48" xfId="2" applyNumberFormat="1" applyFont="1" applyFill="1" applyBorder="1" applyAlignment="1">
      <alignment horizontal="center" vertical="center" wrapText="1"/>
    </xf>
    <xf numFmtId="0" fontId="53" fillId="5" borderId="48" xfId="2" applyFont="1" applyFill="1" applyBorder="1" applyAlignment="1">
      <alignment horizontal="center" vertical="center" wrapText="1"/>
    </xf>
    <xf numFmtId="0" fontId="53" fillId="5" borderId="49" xfId="2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0" fontId="116" fillId="2" borderId="1" xfId="0" applyFont="1" applyFill="1" applyBorder="1" applyAlignment="1">
      <alignment horizontal="left" vertical="center"/>
    </xf>
    <xf numFmtId="0" fontId="117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53" fillId="2" borderId="2" xfId="0" applyFont="1" applyFill="1" applyBorder="1" applyAlignment="1">
      <alignment vertical="center"/>
    </xf>
    <xf numFmtId="1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1" xfId="62" applyNumberFormat="1" applyFont="1" applyFill="1" applyBorder="1" applyAlignment="1">
      <alignment horizontal="center" vertical="center"/>
    </xf>
    <xf numFmtId="0" fontId="53" fillId="2" borderId="2" xfId="0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center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2" fontId="7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173" fontId="3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33" fillId="2" borderId="46" xfId="0" applyFont="1" applyFill="1" applyBorder="1" applyAlignment="1">
      <alignment horizontal="center" vertical="center"/>
    </xf>
    <xf numFmtId="0" fontId="93" fillId="2" borderId="46" xfId="0" applyFont="1" applyFill="1" applyBorder="1" applyAlignment="1">
      <alignment vertical="center"/>
    </xf>
    <xf numFmtId="0" fontId="50" fillId="5" borderId="50" xfId="2" applyFont="1" applyFill="1" applyBorder="1" applyAlignment="1">
      <alignment horizontal="center" vertical="center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118" fillId="0" borderId="50" xfId="0" applyFont="1" applyBorder="1" applyAlignment="1">
      <alignment horizontal="center" vertical="top" wrapText="1"/>
    </xf>
    <xf numFmtId="12" fontId="99" fillId="0" borderId="0" xfId="128" applyNumberFormat="1" applyFont="1" applyAlignment="1">
      <alignment horizontal="center" vertical="center" wrapText="1"/>
    </xf>
    <xf numFmtId="12" fontId="101" fillId="0" borderId="50" xfId="128" applyNumberFormat="1" applyFont="1" applyBorder="1" applyAlignment="1">
      <alignment horizontal="center" vertical="center" wrapText="1"/>
    </xf>
    <xf numFmtId="12" fontId="94" fillId="0" borderId="0" xfId="128" applyNumberFormat="1" applyAlignment="1">
      <alignment horizontal="center" vertical="top"/>
    </xf>
    <xf numFmtId="12" fontId="119" fillId="0" borderId="50" xfId="0" applyNumberFormat="1" applyFont="1" applyBorder="1" applyAlignment="1">
      <alignment horizontal="center" vertical="center" wrapText="1"/>
    </xf>
    <xf numFmtId="0" fontId="113" fillId="0" borderId="50" xfId="0" applyFont="1" applyBorder="1" applyAlignment="1">
      <alignment horizontal="center" vertical="center" wrapText="1"/>
    </xf>
    <xf numFmtId="0" fontId="102" fillId="0" borderId="50" xfId="0" applyFont="1" applyBorder="1" applyAlignment="1">
      <alignment horizontal="center" vertical="center" wrapText="1"/>
    </xf>
    <xf numFmtId="12" fontId="113" fillId="0" borderId="50" xfId="0" applyNumberFormat="1" applyFont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1" fontId="32" fillId="2" borderId="56" xfId="0" quotePrefix="1" applyNumberFormat="1" applyFont="1" applyFill="1" applyBorder="1" applyAlignment="1">
      <alignment horizontal="center" vertical="center" wrapText="1"/>
    </xf>
    <xf numFmtId="1" fontId="32" fillId="2" borderId="69" xfId="0" quotePrefix="1" applyNumberFormat="1" applyFont="1" applyFill="1" applyBorder="1" applyAlignment="1">
      <alignment horizontal="center" vertical="center" wrapText="1"/>
    </xf>
    <xf numFmtId="1" fontId="32" fillId="2" borderId="57" xfId="0" quotePrefix="1" applyNumberFormat="1" applyFont="1" applyFill="1" applyBorder="1" applyAlignment="1">
      <alignment horizontal="center" vertical="center" wrapText="1"/>
    </xf>
    <xf numFmtId="1" fontId="32" fillId="2" borderId="23" xfId="0" quotePrefix="1" applyNumberFormat="1" applyFont="1" applyFill="1" applyBorder="1" applyAlignment="1">
      <alignment horizontal="center" vertical="center" wrapText="1"/>
    </xf>
    <xf numFmtId="1" fontId="32" fillId="2" borderId="54" xfId="0" quotePrefix="1" applyNumberFormat="1" applyFont="1" applyFill="1" applyBorder="1" applyAlignment="1">
      <alignment horizontal="center" vertical="center" wrapText="1"/>
    </xf>
    <xf numFmtId="1" fontId="32" fillId="2" borderId="70" xfId="0" quotePrefix="1" applyNumberFormat="1" applyFont="1" applyFill="1" applyBorder="1" applyAlignment="1">
      <alignment horizontal="center" vertical="center" wrapText="1"/>
    </xf>
    <xf numFmtId="1" fontId="32" fillId="2" borderId="56" xfId="0" quotePrefix="1" applyNumberFormat="1" applyFont="1" applyFill="1" applyBorder="1" applyAlignment="1">
      <alignment horizontal="center" vertical="center"/>
    </xf>
    <xf numFmtId="1" fontId="32" fillId="2" borderId="69" xfId="0" quotePrefix="1" applyNumberFormat="1" applyFont="1" applyFill="1" applyBorder="1" applyAlignment="1">
      <alignment horizontal="center" vertical="center"/>
    </xf>
    <xf numFmtId="1" fontId="32" fillId="2" borderId="57" xfId="0" quotePrefix="1" applyNumberFormat="1" applyFont="1" applyFill="1" applyBorder="1" applyAlignment="1">
      <alignment horizontal="center" vertical="center"/>
    </xf>
    <xf numFmtId="1" fontId="32" fillId="2" borderId="23" xfId="0" quotePrefix="1" applyNumberFormat="1" applyFont="1" applyFill="1" applyBorder="1" applyAlignment="1">
      <alignment horizontal="center" vertical="center"/>
    </xf>
    <xf numFmtId="1" fontId="32" fillId="2" borderId="54" xfId="0" quotePrefix="1" applyNumberFormat="1" applyFont="1" applyFill="1" applyBorder="1" applyAlignment="1">
      <alignment horizontal="center" vertical="center"/>
    </xf>
    <xf numFmtId="1" fontId="32" fillId="2" borderId="70" xfId="0" quotePrefix="1" applyNumberFormat="1" applyFont="1" applyFill="1" applyBorder="1" applyAlignment="1">
      <alignment horizontal="center" vertical="center"/>
    </xf>
    <xf numFmtId="0" fontId="32" fillId="2" borderId="45" xfId="0" applyFont="1" applyFill="1" applyBorder="1" applyAlignment="1">
      <alignment horizontal="center" vertical="center"/>
    </xf>
    <xf numFmtId="1" fontId="32" fillId="47" borderId="47" xfId="1" applyNumberFormat="1" applyFont="1" applyFill="1" applyBorder="1" applyAlignment="1">
      <alignment horizontal="center" vertical="center" wrapText="1"/>
    </xf>
    <xf numFmtId="1" fontId="32" fillId="47" borderId="9" xfId="1" applyNumberFormat="1" applyFont="1" applyFill="1" applyBorder="1" applyAlignment="1">
      <alignment horizontal="center" vertical="center" wrapText="1"/>
    </xf>
    <xf numFmtId="0" fontId="52" fillId="3" borderId="51" xfId="0" applyFont="1" applyFill="1" applyBorder="1" applyAlignment="1">
      <alignment horizontal="center" vertical="center"/>
    </xf>
    <xf numFmtId="0" fontId="52" fillId="3" borderId="48" xfId="0" applyFont="1" applyFill="1" applyBorder="1" applyAlignment="1">
      <alignment horizontal="center" vertical="center"/>
    </xf>
    <xf numFmtId="0" fontId="52" fillId="3" borderId="49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1" fontId="31" fillId="2" borderId="51" xfId="0" applyNumberFormat="1" applyFont="1" applyFill="1" applyBorder="1" applyAlignment="1">
      <alignment horizontal="left" vertical="center" wrapText="1"/>
    </xf>
    <xf numFmtId="1" fontId="31" fillId="2" borderId="49" xfId="0" applyNumberFormat="1" applyFont="1" applyFill="1" applyBorder="1" applyAlignment="1">
      <alignment horizontal="left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3" borderId="51" xfId="0" applyFont="1" applyFill="1" applyBorder="1" applyAlignment="1">
      <alignment horizontal="center" vertical="center"/>
    </xf>
    <xf numFmtId="0" fontId="31" fillId="3" borderId="48" xfId="0" applyFont="1" applyFill="1" applyBorder="1" applyAlignment="1">
      <alignment horizontal="center" vertical="center"/>
    </xf>
    <xf numFmtId="0" fontId="31" fillId="3" borderId="49" xfId="0" applyFont="1" applyFill="1" applyBorder="1" applyAlignment="1">
      <alignment horizontal="center" vertical="center"/>
    </xf>
    <xf numFmtId="0" fontId="48" fillId="3" borderId="50" xfId="0" applyFont="1" applyFill="1" applyBorder="1" applyAlignment="1">
      <alignment horizontal="left" vertical="center" wrapText="1"/>
    </xf>
    <xf numFmtId="0" fontId="49" fillId="3" borderId="50" xfId="0" applyFont="1" applyFill="1" applyBorder="1" applyAlignment="1">
      <alignment horizontal="left" vertical="center" wrapText="1"/>
    </xf>
    <xf numFmtId="0" fontId="48" fillId="3" borderId="51" xfId="0" applyFont="1" applyFill="1" applyBorder="1" applyAlignment="1">
      <alignment horizontal="left" vertical="center" wrapText="1"/>
    </xf>
    <xf numFmtId="0" fontId="48" fillId="3" borderId="49" xfId="0" applyFont="1" applyFill="1" applyBorder="1" applyAlignment="1">
      <alignment horizontal="left" vertical="center" wrapText="1"/>
    </xf>
    <xf numFmtId="0" fontId="26" fillId="3" borderId="0" xfId="0" quotePrefix="1" applyFont="1" applyFill="1" applyAlignment="1">
      <alignment horizontal="left" vertical="center" wrapText="1"/>
    </xf>
    <xf numFmtId="0" fontId="53" fillId="0" borderId="19" xfId="0" applyFont="1" applyBorder="1" applyAlignment="1">
      <alignment horizontal="center" vertical="center" wrapText="1"/>
    </xf>
    <xf numFmtId="0" fontId="53" fillId="0" borderId="20" xfId="0" applyFont="1" applyBorder="1" applyAlignment="1">
      <alignment horizontal="center" vertical="center" wrapText="1"/>
    </xf>
    <xf numFmtId="0" fontId="53" fillId="0" borderId="21" xfId="0" applyFont="1" applyBorder="1" applyAlignment="1">
      <alignment horizontal="center" vertical="center" wrapText="1"/>
    </xf>
    <xf numFmtId="0" fontId="53" fillId="0" borderId="22" xfId="0" applyFont="1" applyBorder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3" fillId="0" borderId="23" xfId="0" applyFont="1" applyBorder="1" applyAlignment="1">
      <alignment horizontal="center" vertical="center" wrapText="1"/>
    </xf>
    <xf numFmtId="0" fontId="53" fillId="0" borderId="27" xfId="0" applyFont="1" applyBorder="1" applyAlignment="1">
      <alignment horizontal="center" vertical="center" wrapText="1"/>
    </xf>
    <xf numFmtId="0" fontId="53" fillId="0" borderId="24" xfId="0" applyFont="1" applyBorder="1" applyAlignment="1">
      <alignment horizontal="center" vertical="center" wrapText="1"/>
    </xf>
    <xf numFmtId="0" fontId="53" fillId="0" borderId="28" xfId="0" applyFont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1" fontId="69" fillId="0" borderId="50" xfId="0" applyNumberFormat="1" applyFont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 wrapText="1"/>
    </xf>
    <xf numFmtId="1" fontId="26" fillId="5" borderId="51" xfId="2" applyNumberFormat="1" applyFont="1" applyFill="1" applyBorder="1" applyAlignment="1">
      <alignment horizontal="center" vertical="center" wrapText="1"/>
    </xf>
    <xf numFmtId="1" fontId="26" fillId="5" borderId="48" xfId="2" applyNumberFormat="1" applyFont="1" applyFill="1" applyBorder="1" applyAlignment="1">
      <alignment horizontal="center" vertical="center" wrapText="1"/>
    </xf>
    <xf numFmtId="1" fontId="26" fillId="5" borderId="49" xfId="2" applyNumberFormat="1" applyFont="1" applyFill="1" applyBorder="1" applyAlignment="1">
      <alignment horizontal="center" vertical="center" wrapText="1"/>
    </xf>
    <xf numFmtId="1" fontId="53" fillId="0" borderId="51" xfId="2" applyNumberFormat="1" applyFont="1" applyBorder="1" applyAlignment="1">
      <alignment horizontal="center" vertical="center" wrapText="1"/>
    </xf>
    <xf numFmtId="1" fontId="53" fillId="0" borderId="48" xfId="2" applyNumberFormat="1" applyFont="1" applyBorder="1" applyAlignment="1">
      <alignment horizontal="center" vertical="center" wrapText="1"/>
    </xf>
    <xf numFmtId="1" fontId="52" fillId="0" borderId="51" xfId="2" applyNumberFormat="1" applyFont="1" applyBorder="1" applyAlignment="1">
      <alignment horizontal="center" vertical="center" wrapText="1"/>
    </xf>
    <xf numFmtId="1" fontId="52" fillId="0" borderId="48" xfId="2" applyNumberFormat="1" applyFont="1" applyBorder="1" applyAlignment="1">
      <alignment horizontal="center" vertical="center" wrapText="1"/>
    </xf>
    <xf numFmtId="1" fontId="53" fillId="0" borderId="49" xfId="2" applyNumberFormat="1" applyFont="1" applyBorder="1" applyAlignment="1">
      <alignment horizontal="center" vertical="center" wrapText="1"/>
    </xf>
    <xf numFmtId="1" fontId="53" fillId="5" borderId="51" xfId="2" applyNumberFormat="1" applyFont="1" applyFill="1" applyBorder="1" applyAlignment="1">
      <alignment horizontal="center" vertical="center" wrapText="1"/>
    </xf>
    <xf numFmtId="1" fontId="53" fillId="5" borderId="48" xfId="2" applyNumberFormat="1" applyFont="1" applyFill="1" applyBorder="1" applyAlignment="1">
      <alignment horizontal="center" vertical="center" wrapText="1"/>
    </xf>
    <xf numFmtId="1" fontId="53" fillId="5" borderId="49" xfId="2" applyNumberFormat="1" applyFont="1" applyFill="1" applyBorder="1" applyAlignment="1">
      <alignment horizontal="center" vertical="center" wrapText="1"/>
    </xf>
    <xf numFmtId="0" fontId="51" fillId="0" borderId="51" xfId="2" applyFont="1" applyBorder="1" applyAlignment="1">
      <alignment horizontal="center" vertical="center"/>
    </xf>
    <xf numFmtId="0" fontId="51" fillId="0" borderId="48" xfId="2" applyFont="1" applyBorder="1" applyAlignment="1">
      <alignment horizontal="center" vertical="center"/>
    </xf>
    <xf numFmtId="0" fontId="51" fillId="0" borderId="49" xfId="2" applyFont="1" applyBorder="1" applyAlignment="1">
      <alignment horizontal="center" vertical="center"/>
    </xf>
    <xf numFmtId="1" fontId="53" fillId="5" borderId="51" xfId="2" applyNumberFormat="1" applyFont="1" applyFill="1" applyBorder="1" applyAlignment="1">
      <alignment horizontal="left" vertical="center" wrapText="1"/>
    </xf>
    <xf numFmtId="1" fontId="53" fillId="5" borderId="49" xfId="2" applyNumberFormat="1" applyFont="1" applyFill="1" applyBorder="1" applyAlignment="1">
      <alignment horizontal="left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1" fontId="50" fillId="5" borderId="49" xfId="2" applyNumberFormat="1" applyFont="1" applyFill="1" applyBorder="1" applyAlignment="1">
      <alignment horizontal="center" vertical="center" wrapText="1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6 3" xfId="128" xr:uid="{3D63FB3F-4CAF-4F73-9D25-2A9F06D0CA32}"/>
    <cellStyle name="Normal 147" xfId="124" xr:uid="{A2C4A55C-EB03-4A6D-9A25-9CFDA519E3E0}"/>
    <cellStyle name="Normal 147 2" xfId="129" xr:uid="{F18A4F2C-6291-41F7-B9E7-D975F025BA67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10.jpe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jpe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6.emf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5.emf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1.emf"/><Relationship Id="rId5" Type="http://schemas.openxmlformats.org/officeDocument/2006/relationships/image" Target="../media/image1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289744</xdr:colOff>
      <xdr:row>4</xdr:row>
      <xdr:rowOff>190500</xdr:rowOff>
    </xdr:from>
    <xdr:to>
      <xdr:col>16</xdr:col>
      <xdr:colOff>761999</xdr:colOff>
      <xdr:row>7</xdr:row>
      <xdr:rowOff>678700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0021DA-664F-4A3F-9C0F-29528C96E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82557" y="2119313"/>
          <a:ext cx="3901255" cy="2702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6451603</xdr:colOff>
      <xdr:row>19</xdr:row>
      <xdr:rowOff>152398</xdr:rowOff>
    </xdr:from>
    <xdr:to>
      <xdr:col>1</xdr:col>
      <xdr:colOff>10693403</xdr:colOff>
      <xdr:row>19</xdr:row>
      <xdr:rowOff>2778157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77BD6C-8D9C-440C-A5F2-211DE8C86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984023" y="24261778"/>
          <a:ext cx="2625759" cy="4241800"/>
        </a:xfrm>
        <a:prstGeom prst="rect">
          <a:avLst/>
        </a:prstGeom>
      </xdr:spPr>
    </xdr:pic>
    <xdr:clientData/>
  </xdr:twoCellAnchor>
  <xdr:twoCellAnchor editAs="oneCell">
    <xdr:from>
      <xdr:col>3</xdr:col>
      <xdr:colOff>776163</xdr:colOff>
      <xdr:row>36</xdr:row>
      <xdr:rowOff>381000</xdr:rowOff>
    </xdr:from>
    <xdr:to>
      <xdr:col>3</xdr:col>
      <xdr:colOff>4619625</xdr:colOff>
      <xdr:row>36</xdr:row>
      <xdr:rowOff>2043112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DE4B42C-7EB3-484E-9304-91E4F7155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54563" y="75323700"/>
          <a:ext cx="3843462" cy="1662112"/>
        </a:xfrm>
        <a:prstGeom prst="rect">
          <a:avLst/>
        </a:prstGeom>
      </xdr:spPr>
    </xdr:pic>
    <xdr:clientData/>
  </xdr:twoCellAnchor>
  <xdr:twoCellAnchor>
    <xdr:from>
      <xdr:col>3</xdr:col>
      <xdr:colOff>1600198</xdr:colOff>
      <xdr:row>30</xdr:row>
      <xdr:rowOff>190501</xdr:rowOff>
    </xdr:from>
    <xdr:to>
      <xdr:col>3</xdr:col>
      <xdr:colOff>5757861</xdr:colOff>
      <xdr:row>31</xdr:row>
      <xdr:rowOff>1381125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E55D2687-C60E-4CE6-B6D8-8C5459B02A73}"/>
            </a:ext>
          </a:extLst>
        </xdr:cNvPr>
        <xdr:cNvGrpSpPr/>
      </xdr:nvGrpSpPr>
      <xdr:grpSpPr>
        <a:xfrm>
          <a:off x="31379158" y="57157621"/>
          <a:ext cx="4157663" cy="2105024"/>
          <a:chOff x="28765499" y="2095501"/>
          <a:chExt cx="2457451" cy="2076450"/>
        </a:xfrm>
      </xdr:grpSpPr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964E81DB-0CCA-C991-0E34-15969E45EC2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9889450" y="2095501"/>
            <a:ext cx="1333500" cy="2076450"/>
          </a:xfrm>
          <a:prstGeom prst="rect">
            <a:avLst/>
          </a:prstGeom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58CA734A-37BC-3884-808E-69634181736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8765499" y="2133600"/>
            <a:ext cx="1143001" cy="198120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2933900</xdr:colOff>
      <xdr:row>32</xdr:row>
      <xdr:rowOff>333374</xdr:rowOff>
    </xdr:from>
    <xdr:to>
      <xdr:col>3</xdr:col>
      <xdr:colOff>5562599</xdr:colOff>
      <xdr:row>33</xdr:row>
      <xdr:rowOff>2137134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460A6E1-6D4C-436C-AF6A-FB423D270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0612300" y="67884674"/>
          <a:ext cx="2628699" cy="2794360"/>
        </a:xfrm>
        <a:prstGeom prst="rect">
          <a:avLst/>
        </a:prstGeom>
      </xdr:spPr>
    </xdr:pic>
    <xdr:clientData/>
  </xdr:twoCellAnchor>
  <xdr:twoCellAnchor>
    <xdr:from>
      <xdr:col>3</xdr:col>
      <xdr:colOff>1695449</xdr:colOff>
      <xdr:row>29</xdr:row>
      <xdr:rowOff>85724</xdr:rowOff>
    </xdr:from>
    <xdr:to>
      <xdr:col>3</xdr:col>
      <xdr:colOff>5867400</xdr:colOff>
      <xdr:row>29</xdr:row>
      <xdr:rowOff>2057400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2D42047-2A03-42AA-B422-890280652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9373849" y="60169424"/>
          <a:ext cx="4171951" cy="1971676"/>
        </a:xfrm>
        <a:prstGeom prst="rect">
          <a:avLst/>
        </a:prstGeom>
      </xdr:spPr>
    </xdr:pic>
    <xdr:clientData/>
  </xdr:twoCellAnchor>
  <xdr:twoCellAnchor editAs="oneCell">
    <xdr:from>
      <xdr:col>1</xdr:col>
      <xdr:colOff>3234866</xdr:colOff>
      <xdr:row>21</xdr:row>
      <xdr:rowOff>498942</xdr:rowOff>
    </xdr:from>
    <xdr:to>
      <xdr:col>1</xdr:col>
      <xdr:colOff>15582900</xdr:colOff>
      <xdr:row>21</xdr:row>
      <xdr:rowOff>4286495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16ECE1F-0910-4F8C-8C67-073C0FE1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12239506" y="27232102"/>
          <a:ext cx="3787553" cy="12348034"/>
        </a:xfrm>
        <a:prstGeom prst="rect">
          <a:avLst/>
        </a:prstGeom>
      </xdr:spPr>
    </xdr:pic>
    <xdr:clientData/>
  </xdr:twoCellAnchor>
  <xdr:twoCellAnchor>
    <xdr:from>
      <xdr:col>1</xdr:col>
      <xdr:colOff>12839700</xdr:colOff>
      <xdr:row>0</xdr:row>
      <xdr:rowOff>190500</xdr:rowOff>
    </xdr:from>
    <xdr:to>
      <xdr:col>1</xdr:col>
      <xdr:colOff>16740955</xdr:colOff>
      <xdr:row>4</xdr:row>
      <xdr:rowOff>454862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6C68499-97DA-45E2-996B-60E7EFA9A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64100" y="190500"/>
          <a:ext cx="3901255" cy="27027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DBTDLYNTEX-DOMEX2003.xls?C78E7B8A" TargetMode="External"/><Relationship Id="rId1" Type="http://schemas.openxmlformats.org/officeDocument/2006/relationships/externalLinkPath" Target="file:///\\C78E7B8A\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09375" defaultRowHeight="16.8"/>
  <cols>
    <col min="1" max="1" width="8.44140625" style="38" customWidth="1"/>
    <col min="2" max="2" width="25" style="38" customWidth="1"/>
    <col min="3" max="3" width="24.109375" style="38" customWidth="1"/>
    <col min="4" max="4" width="29.5546875" style="38" customWidth="1"/>
    <col min="5" max="5" width="29.109375" style="38" customWidth="1"/>
    <col min="6" max="6" width="24.5546875" style="38" customWidth="1"/>
    <col min="7" max="7" width="20" style="39" customWidth="1"/>
    <col min="8" max="8" width="16" style="38" customWidth="1"/>
    <col min="9" max="9" width="18.5546875" style="38" customWidth="1"/>
    <col min="10" max="10" width="16" style="38" customWidth="1"/>
    <col min="11" max="11" width="22.109375" style="38" customWidth="1"/>
    <col min="12" max="12" width="18.88671875" style="38" customWidth="1"/>
    <col min="13" max="13" width="14.109375" style="38" customWidth="1"/>
    <col min="14" max="15" width="13.44140625" style="38" customWidth="1"/>
    <col min="16" max="16" width="24.109375" style="38" customWidth="1"/>
    <col min="17" max="17" width="14.88671875" style="38" bestFit="1" customWidth="1"/>
    <col min="18" max="16384" width="9.109375" style="38"/>
  </cols>
  <sheetData>
    <row r="1" spans="1:16" s="4" customFormat="1" ht="39.9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88" t="s">
        <v>0</v>
      </c>
      <c r="N1" s="488" t="s">
        <v>0</v>
      </c>
      <c r="O1" s="489" t="s">
        <v>1</v>
      </c>
      <c r="P1" s="489"/>
    </row>
    <row r="2" spans="1:16" s="4" customFormat="1" ht="39.9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88" t="s">
        <v>2</v>
      </c>
      <c r="N2" s="488" t="s">
        <v>2</v>
      </c>
      <c r="O2" s="490" t="s">
        <v>3</v>
      </c>
      <c r="P2" s="490"/>
    </row>
    <row r="3" spans="1:16" s="4" customFormat="1" ht="39.9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88" t="s">
        <v>4</v>
      </c>
      <c r="N3" s="488" t="s">
        <v>4</v>
      </c>
      <c r="O3" s="491" t="s">
        <v>5</v>
      </c>
      <c r="P3" s="489"/>
    </row>
    <row r="4" spans="1:16" s="5" customFormat="1" ht="33" customHeight="1" thickBot="1">
      <c r="B4" s="6" t="s">
        <v>6</v>
      </c>
      <c r="G4" s="7"/>
    </row>
    <row r="5" spans="1:16" s="5" customFormat="1" ht="57.9" customHeight="1">
      <c r="B5" s="8" t="s">
        <v>7</v>
      </c>
      <c r="C5" s="8"/>
      <c r="D5" s="6"/>
      <c r="F5" s="9"/>
      <c r="G5" s="474" t="s">
        <v>8</v>
      </c>
      <c r="H5" s="475"/>
      <c r="I5" s="475"/>
      <c r="J5" s="475"/>
      <c r="K5" s="475"/>
      <c r="L5" s="476"/>
    </row>
    <row r="6" spans="1:16" s="10" customFormat="1" ht="57.9" customHeight="1">
      <c r="B6" s="11" t="s">
        <v>9</v>
      </c>
      <c r="C6" s="11"/>
      <c r="D6" s="12" t="s">
        <v>10</v>
      </c>
      <c r="E6" s="14"/>
      <c r="F6" s="11"/>
      <c r="G6" s="477"/>
      <c r="H6" s="478"/>
      <c r="I6" s="478"/>
      <c r="J6" s="478"/>
      <c r="K6" s="478"/>
      <c r="L6" s="479"/>
      <c r="M6" s="13"/>
      <c r="N6" s="13"/>
      <c r="O6" s="13"/>
      <c r="P6" s="13"/>
    </row>
    <row r="7" spans="1:16" s="10" customFormat="1" ht="57.9" customHeight="1">
      <c r="B7" s="11" t="s">
        <v>11</v>
      </c>
      <c r="C7" s="11"/>
      <c r="D7" s="12" t="s">
        <v>12</v>
      </c>
      <c r="E7" s="12"/>
      <c r="F7" s="11"/>
      <c r="G7" s="477"/>
      <c r="H7" s="478"/>
      <c r="I7" s="478"/>
      <c r="J7" s="478"/>
      <c r="K7" s="478"/>
      <c r="L7" s="479"/>
      <c r="M7" s="13"/>
      <c r="N7" s="13"/>
      <c r="O7" s="13"/>
      <c r="P7" s="13"/>
    </row>
    <row r="8" spans="1:16" s="10" customFormat="1" ht="57.9" customHeight="1" thickBot="1">
      <c r="B8" s="11" t="s">
        <v>13</v>
      </c>
      <c r="C8" s="11"/>
      <c r="D8" s="483" t="s">
        <v>14</v>
      </c>
      <c r="E8" s="483"/>
      <c r="F8" s="483"/>
      <c r="G8" s="480"/>
      <c r="H8" s="481"/>
      <c r="I8" s="481"/>
      <c r="J8" s="481"/>
      <c r="K8" s="481"/>
      <c r="L8" s="482"/>
      <c r="M8" s="13"/>
      <c r="N8" s="13"/>
      <c r="O8" s="13"/>
      <c r="P8" s="13"/>
    </row>
    <row r="9" spans="1:16" s="15" customFormat="1" ht="32.4">
      <c r="B9" s="16" t="s">
        <v>15</v>
      </c>
      <c r="C9" s="16"/>
      <c r="D9" s="137" t="s">
        <v>16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4">
      <c r="B10" s="352" t="s">
        <v>17</v>
      </c>
      <c r="C10" s="352"/>
      <c r="D10" s="136" t="s">
        <v>18</v>
      </c>
      <c r="E10" s="136"/>
      <c r="F10" s="136"/>
      <c r="G10" s="353"/>
      <c r="H10" s="136"/>
      <c r="I10" s="182"/>
      <c r="J10" s="182" t="s">
        <v>19</v>
      </c>
      <c r="K10" s="182"/>
      <c r="L10" s="182" t="s">
        <v>20</v>
      </c>
      <c r="M10" s="354"/>
      <c r="N10" s="354"/>
      <c r="O10" s="354"/>
      <c r="P10" s="354"/>
    </row>
    <row r="11" spans="1:16" s="15" customFormat="1" ht="68.25" customHeight="1">
      <c r="B11" s="182" t="s">
        <v>21</v>
      </c>
      <c r="C11" s="182"/>
      <c r="D11" s="484">
        <v>44964</v>
      </c>
      <c r="E11" s="485"/>
      <c r="F11" s="485"/>
      <c r="G11" s="356"/>
      <c r="H11" s="355"/>
      <c r="I11" s="182"/>
      <c r="J11" s="182" t="s">
        <v>22</v>
      </c>
      <c r="K11" s="182"/>
      <c r="L11" s="486" t="s">
        <v>23</v>
      </c>
      <c r="M11" s="486"/>
      <c r="N11" s="486"/>
      <c r="O11" s="486"/>
      <c r="P11" s="486"/>
    </row>
    <row r="12" spans="1:16" s="15" customFormat="1" ht="32.4">
      <c r="B12" s="182" t="s">
        <v>24</v>
      </c>
      <c r="C12" s="182"/>
      <c r="D12" s="357"/>
      <c r="E12" s="182"/>
      <c r="F12" s="182"/>
      <c r="G12" s="358"/>
      <c r="H12" s="359"/>
      <c r="I12" s="182"/>
      <c r="J12" s="182" t="s">
        <v>25</v>
      </c>
      <c r="L12" s="182" t="s">
        <v>26</v>
      </c>
      <c r="M12" s="182"/>
      <c r="N12" s="359"/>
      <c r="O12" s="359"/>
      <c r="P12" s="354"/>
    </row>
    <row r="13" spans="1:16" s="15" customFormat="1" ht="32.4">
      <c r="B13" s="487"/>
      <c r="C13" s="487"/>
      <c r="D13" s="487"/>
      <c r="E13" s="487"/>
      <c r="F13" s="487"/>
      <c r="G13" s="358"/>
      <c r="H13" s="359"/>
      <c r="I13" s="182"/>
      <c r="J13" s="182" t="s">
        <v>27</v>
      </c>
      <c r="K13" s="182"/>
      <c r="L13" s="182" t="s">
        <v>28</v>
      </c>
      <c r="M13" s="359"/>
      <c r="N13" s="354"/>
      <c r="O13" s="354"/>
      <c r="P13" s="359"/>
    </row>
    <row r="14" spans="1:16" s="15" customFormat="1" ht="32.4">
      <c r="B14" s="182" t="s">
        <v>29</v>
      </c>
      <c r="C14" s="182"/>
      <c r="D14" s="182" t="s">
        <v>30</v>
      </c>
      <c r="E14" s="182"/>
      <c r="F14" s="182"/>
      <c r="G14" s="360"/>
      <c r="H14" s="182"/>
      <c r="I14" s="182"/>
      <c r="J14" s="182" t="s">
        <v>31</v>
      </c>
      <c r="K14" s="182"/>
      <c r="L14" s="354" t="s">
        <v>32</v>
      </c>
      <c r="M14" s="354"/>
      <c r="N14" s="354"/>
      <c r="O14" s="354"/>
      <c r="P14" s="354"/>
    </row>
    <row r="15" spans="1:16" s="15" customFormat="1" ht="21" customHeight="1">
      <c r="B15" s="20" t="s">
        <v>33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34</v>
      </c>
      <c r="D17" s="108" t="s">
        <v>35</v>
      </c>
      <c r="E17" s="109" t="s">
        <v>36</v>
      </c>
      <c r="F17" s="109"/>
      <c r="G17" s="109" t="s">
        <v>37</v>
      </c>
      <c r="H17" s="109" t="s">
        <v>38</v>
      </c>
      <c r="I17" s="109" t="s">
        <v>39</v>
      </c>
      <c r="J17" s="109" t="s">
        <v>40</v>
      </c>
      <c r="K17" s="109" t="s">
        <v>41</v>
      </c>
      <c r="L17" s="109"/>
      <c r="M17" s="109"/>
      <c r="N17" s="109"/>
      <c r="O17" s="109"/>
      <c r="P17" s="110" t="s">
        <v>42</v>
      </c>
    </row>
    <row r="18" spans="2:16" s="111" customFormat="1" ht="80.25" hidden="1" customHeight="1">
      <c r="B18" s="112" t="s">
        <v>43</v>
      </c>
      <c r="C18" s="113"/>
      <c r="D18" s="114" t="s">
        <v>44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45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46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>SUM(H18:H19)</f>
        <v>0</v>
      </c>
      <c r="I20" s="135">
        <f>SUM(I18:I19)</f>
        <v>0</v>
      </c>
      <c r="J20" s="135">
        <f>SUM(J18:J19)</f>
        <v>0</v>
      </c>
      <c r="K20" s="135">
        <f>SUM(K18:K19)</f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34</v>
      </c>
      <c r="D22" s="151" t="s">
        <v>35</v>
      </c>
      <c r="E22" s="152" t="s">
        <v>36</v>
      </c>
      <c r="F22" s="152"/>
      <c r="G22" s="152" t="s">
        <v>37</v>
      </c>
      <c r="H22" s="152" t="s">
        <v>38</v>
      </c>
      <c r="I22" s="152" t="s">
        <v>39</v>
      </c>
      <c r="J22" s="152" t="s">
        <v>40</v>
      </c>
      <c r="K22" s="152" t="s">
        <v>41</v>
      </c>
      <c r="L22" s="153"/>
      <c r="M22" s="153"/>
      <c r="N22" s="153"/>
      <c r="O22" s="153"/>
      <c r="P22" s="154" t="s">
        <v>42</v>
      </c>
    </row>
    <row r="23" spans="2:16" s="155" customFormat="1" ht="91.5" customHeight="1">
      <c r="B23" s="156" t="s">
        <v>43</v>
      </c>
      <c r="C23" s="157"/>
      <c r="D23" s="158" t="s">
        <v>47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45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>ROUNDUP(H23*5%,0)</f>
        <v>13</v>
      </c>
      <c r="I24" s="162">
        <f>ROUNDUP(I23*5%,0)</f>
        <v>12</v>
      </c>
      <c r="J24" s="162">
        <f>ROUNDUP(J23*5%,0)</f>
        <v>5</v>
      </c>
      <c r="K24" s="162">
        <f>ROUNDUP(K23*5%,0)</f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46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34</v>
      </c>
      <c r="D27" s="114" t="s">
        <v>35</v>
      </c>
      <c r="E27" s="115" t="s">
        <v>36</v>
      </c>
      <c r="F27" s="116"/>
      <c r="G27" s="116" t="s">
        <v>37</v>
      </c>
      <c r="H27" s="116" t="s">
        <v>38</v>
      </c>
      <c r="I27" s="116" t="s">
        <v>39</v>
      </c>
      <c r="J27" s="116" t="s">
        <v>40</v>
      </c>
      <c r="K27" s="116" t="s">
        <v>41</v>
      </c>
      <c r="L27" s="116"/>
      <c r="M27" s="116"/>
      <c r="N27" s="116"/>
      <c r="O27" s="116"/>
      <c r="P27" s="117" t="s">
        <v>42</v>
      </c>
    </row>
    <row r="28" spans="2:16" s="111" customFormat="1" ht="111.75" hidden="1" customHeight="1">
      <c r="B28" s="112" t="s">
        <v>43</v>
      </c>
      <c r="C28" s="113"/>
      <c r="D28" s="465" t="s">
        <v>48</v>
      </c>
      <c r="E28" s="465"/>
      <c r="F28" s="465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45</v>
      </c>
      <c r="C29" s="113"/>
      <c r="D29" s="465" t="str">
        <f>+D28</f>
        <v>WASHED BURGUNDY</v>
      </c>
      <c r="E29" s="465"/>
      <c r="F29" s="465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46</v>
      </c>
      <c r="C30" s="132"/>
      <c r="D30" s="466" t="str">
        <f>+D29</f>
        <v>WASHED BURGUNDY</v>
      </c>
      <c r="E30" s="466"/>
      <c r="F30" s="466"/>
      <c r="G30" s="131">
        <f>SUM(G28:G29)</f>
        <v>0</v>
      </c>
      <c r="H30" s="131">
        <f>SUM(H28:H29)</f>
        <v>0</v>
      </c>
      <c r="I30" s="131">
        <f>SUM(I28:I29)</f>
        <v>0</v>
      </c>
      <c r="J30" s="131">
        <f>SUM(J28:J29)</f>
        <v>0</v>
      </c>
      <c r="K30" s="131">
        <f>SUM(K28:K29)</f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34</v>
      </c>
      <c r="D32" s="108" t="s">
        <v>35</v>
      </c>
      <c r="E32" s="131" t="s">
        <v>36</v>
      </c>
      <c r="F32" s="131"/>
      <c r="G32" s="131" t="s">
        <v>37</v>
      </c>
      <c r="H32" s="131" t="s">
        <v>38</v>
      </c>
      <c r="I32" s="131" t="s">
        <v>39</v>
      </c>
      <c r="J32" s="131" t="s">
        <v>40</v>
      </c>
      <c r="K32" s="131" t="s">
        <v>41</v>
      </c>
      <c r="L32" s="131"/>
      <c r="M32" s="131"/>
      <c r="N32" s="131"/>
      <c r="O32" s="131"/>
      <c r="P32" s="110" t="s">
        <v>42</v>
      </c>
    </row>
    <row r="33" spans="1:16" s="111" customFormat="1" ht="74.25" hidden="1" customHeight="1">
      <c r="B33" s="112" t="s">
        <v>43</v>
      </c>
      <c r="C33" s="113"/>
      <c r="D33" s="114" t="s">
        <v>49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45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46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>SUM(H33:H34)</f>
        <v>0</v>
      </c>
      <c r="I35" s="122">
        <f>SUM(I33:I34)</f>
        <v>0</v>
      </c>
      <c r="J35" s="122">
        <f>SUM(J33:J34)</f>
        <v>0</v>
      </c>
      <c r="K35" s="122">
        <f>SUM(K33:K34)</f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34</v>
      </c>
      <c r="D37" s="108" t="s">
        <v>35</v>
      </c>
      <c r="E37" s="109" t="s">
        <v>36</v>
      </c>
      <c r="F37" s="109"/>
      <c r="G37" s="109" t="s">
        <v>37</v>
      </c>
      <c r="H37" s="109" t="s">
        <v>38</v>
      </c>
      <c r="I37" s="109" t="s">
        <v>39</v>
      </c>
      <c r="J37" s="109" t="s">
        <v>40</v>
      </c>
      <c r="K37" s="109" t="s">
        <v>41</v>
      </c>
      <c r="L37" s="109"/>
      <c r="M37" s="109"/>
      <c r="N37" s="109"/>
      <c r="O37" s="109"/>
      <c r="P37" s="110" t="s">
        <v>42</v>
      </c>
    </row>
    <row r="38" spans="1:16" s="111" customFormat="1" ht="74.25" hidden="1" customHeight="1">
      <c r="B38" s="112" t="s">
        <v>43</v>
      </c>
      <c r="C38" s="113"/>
      <c r="D38" s="114" t="s">
        <v>50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45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46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8.4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51</v>
      </c>
      <c r="C42" s="170"/>
      <c r="D42" s="169"/>
      <c r="E42" s="171"/>
      <c r="F42" s="172"/>
      <c r="G42" s="172">
        <f>G20+G25+G30+G35</f>
        <v>133</v>
      </c>
      <c r="H42" s="172">
        <f>H20+H25+H30+H35</f>
        <v>268</v>
      </c>
      <c r="I42" s="172">
        <f>I20+I25+I30+I35</f>
        <v>248</v>
      </c>
      <c r="J42" s="172">
        <f>J20+J25+J30+J35</f>
        <v>105</v>
      </c>
      <c r="K42" s="172">
        <f>K20+K25+K30+K35</f>
        <v>15</v>
      </c>
      <c r="L42" s="172"/>
      <c r="M42" s="172"/>
      <c r="N42" s="172"/>
      <c r="O42" s="172"/>
      <c r="P42" s="172">
        <f>P20+P25+P30+P35</f>
        <v>769</v>
      </c>
    </row>
    <row r="43" spans="1:16" s="99" customFormat="1" ht="20.25" customHeight="1">
      <c r="B43" s="100"/>
      <c r="C43" s="101"/>
      <c r="D43" s="467" t="s">
        <v>52</v>
      </c>
      <c r="E43" s="467"/>
      <c r="F43" s="467"/>
      <c r="G43" s="467"/>
      <c r="H43" s="467"/>
      <c r="I43" s="467"/>
      <c r="J43" s="467"/>
      <c r="K43" s="467"/>
      <c r="L43" s="467"/>
      <c r="M43" s="467"/>
      <c r="N43" s="467"/>
      <c r="O43" s="467"/>
      <c r="P43" s="467"/>
    </row>
    <row r="44" spans="1:16" s="4" customFormat="1" ht="59.1" customHeight="1" thickBot="1">
      <c r="B44" s="87" t="s">
        <v>53</v>
      </c>
      <c r="C44" s="24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</row>
    <row r="45" spans="1:16" s="25" customFormat="1" ht="120.6" thickBot="1">
      <c r="A45" s="469" t="s">
        <v>54</v>
      </c>
      <c r="B45" s="470"/>
      <c r="C45" s="470"/>
      <c r="D45" s="81" t="s">
        <v>55</v>
      </c>
      <c r="E45" s="82" t="s">
        <v>56</v>
      </c>
      <c r="F45" s="81" t="s">
        <v>57</v>
      </c>
      <c r="G45" s="83" t="s">
        <v>58</v>
      </c>
      <c r="H45" s="83" t="s">
        <v>59</v>
      </c>
      <c r="I45" s="83" t="s">
        <v>60</v>
      </c>
      <c r="J45" s="83" t="s">
        <v>61</v>
      </c>
      <c r="K45" s="83" t="s">
        <v>62</v>
      </c>
      <c r="L45" s="83" t="s">
        <v>63</v>
      </c>
      <c r="M45" s="471" t="s">
        <v>64</v>
      </c>
      <c r="N45" s="472"/>
      <c r="O45" s="472"/>
      <c r="P45" s="473"/>
    </row>
    <row r="46" spans="1:16" s="34" customFormat="1" ht="45.75" hidden="1" customHeight="1">
      <c r="A46" s="462" t="str">
        <f>D18</f>
        <v>BLACK</v>
      </c>
      <c r="B46" s="463"/>
      <c r="C46" s="463"/>
      <c r="D46" s="463"/>
      <c r="E46" s="463"/>
      <c r="F46" s="463"/>
      <c r="G46" s="463"/>
      <c r="H46" s="463"/>
      <c r="I46" s="463"/>
      <c r="J46" s="463"/>
      <c r="K46" s="463"/>
      <c r="L46" s="463"/>
      <c r="M46" s="463"/>
      <c r="N46" s="463"/>
      <c r="O46" s="463"/>
      <c r="P46" s="464"/>
    </row>
    <row r="47" spans="1:16" s="128" customFormat="1" ht="120" hidden="1" customHeight="1">
      <c r="A47" s="129">
        <v>1</v>
      </c>
      <c r="B47" s="457" t="str">
        <f>$L$11</f>
        <v>100% DRY COTTON FLEECE 410GSM</v>
      </c>
      <c r="C47" s="457"/>
      <c r="D47" s="190" t="s">
        <v>65</v>
      </c>
      <c r="E47" s="190" t="str">
        <f>A46</f>
        <v>BLACK</v>
      </c>
      <c r="F47" s="129" t="s">
        <v>38</v>
      </c>
      <c r="G47" s="191">
        <f>$P$20</f>
        <v>0</v>
      </c>
      <c r="H47" s="192">
        <v>1.5</v>
      </c>
      <c r="I47" s="179">
        <f>G47*H47</f>
        <v>0</v>
      </c>
      <c r="J47" s="179"/>
      <c r="K47" s="179"/>
      <c r="L47" s="361"/>
      <c r="M47" s="458"/>
      <c r="N47" s="459"/>
      <c r="O47" s="459"/>
      <c r="P47" s="460"/>
    </row>
    <row r="48" spans="1:16" s="128" customFormat="1" ht="89.25" hidden="1" customHeight="1">
      <c r="A48" s="129">
        <v>2</v>
      </c>
      <c r="B48" s="457" t="s">
        <v>66</v>
      </c>
      <c r="C48" s="457"/>
      <c r="D48" s="190" t="s">
        <v>67</v>
      </c>
      <c r="E48" s="190" t="str">
        <f>E47</f>
        <v>BLACK</v>
      </c>
      <c r="F48" s="129" t="s">
        <v>38</v>
      </c>
      <c r="G48" s="191">
        <f>$P$20</f>
        <v>0</v>
      </c>
      <c r="H48" s="192">
        <v>0.3</v>
      </c>
      <c r="I48" s="179">
        <f>G48*H48</f>
        <v>0</v>
      </c>
      <c r="J48" s="179"/>
      <c r="K48" s="179"/>
      <c r="L48" s="361"/>
      <c r="M48" s="458"/>
      <c r="N48" s="459"/>
      <c r="O48" s="459"/>
      <c r="P48" s="460"/>
    </row>
    <row r="49" spans="1:16" s="128" customFormat="1" ht="129" hidden="1" customHeight="1">
      <c r="A49" s="129">
        <v>3</v>
      </c>
      <c r="B49" s="461" t="s">
        <v>68</v>
      </c>
      <c r="C49" s="461"/>
      <c r="D49" s="190" t="s">
        <v>69</v>
      </c>
      <c r="E49" s="190" t="str">
        <f>E48</f>
        <v>BLACK</v>
      </c>
      <c r="F49" s="129" t="s">
        <v>38</v>
      </c>
      <c r="G49" s="191">
        <f>$P$20</f>
        <v>0</v>
      </c>
      <c r="H49" s="130">
        <v>0.3</v>
      </c>
      <c r="I49" s="179">
        <f>G49*H49</f>
        <v>0</v>
      </c>
      <c r="J49" s="179"/>
      <c r="K49" s="179"/>
      <c r="L49" s="361"/>
      <c r="M49" s="458"/>
      <c r="N49" s="459"/>
      <c r="O49" s="459"/>
      <c r="P49" s="460"/>
    </row>
    <row r="50" spans="1:16" s="34" customFormat="1" ht="51.75" customHeight="1">
      <c r="A50" s="454" t="str">
        <f>D23</f>
        <v>GREY HEATHER</v>
      </c>
      <c r="B50" s="455"/>
      <c r="C50" s="455"/>
      <c r="D50" s="455"/>
      <c r="E50" s="455"/>
      <c r="F50" s="455"/>
      <c r="G50" s="455"/>
      <c r="H50" s="455"/>
      <c r="I50" s="455"/>
      <c r="J50" s="455"/>
      <c r="K50" s="455"/>
      <c r="L50" s="455"/>
      <c r="M50" s="455"/>
      <c r="N50" s="455"/>
      <c r="O50" s="455"/>
      <c r="P50" s="456"/>
    </row>
    <row r="51" spans="1:16" s="128" customFormat="1" ht="186.75" customHeight="1">
      <c r="A51" s="129">
        <v>1</v>
      </c>
      <c r="B51" s="457" t="str">
        <f>$L$11</f>
        <v>100% DRY COTTON FLEECE 410GSM</v>
      </c>
      <c r="C51" s="457"/>
      <c r="D51" s="190" t="s">
        <v>65</v>
      </c>
      <c r="E51" s="190" t="str">
        <f>A50</f>
        <v>GREY HEATHER</v>
      </c>
      <c r="F51" s="129" t="s">
        <v>38</v>
      </c>
      <c r="G51" s="191">
        <f>$P$25</f>
        <v>769</v>
      </c>
      <c r="H51" s="362">
        <v>0.61</v>
      </c>
      <c r="I51" s="179">
        <f>G51*H51</f>
        <v>469.09</v>
      </c>
      <c r="J51" s="174">
        <f>I51*0.7%+(I51/50)*0.5+4</f>
        <v>11.97453</v>
      </c>
      <c r="K51" s="173">
        <v>2</v>
      </c>
      <c r="L51" s="363">
        <f>SUBTOTAL(9,I51:K51)</f>
        <v>483.06452999999999</v>
      </c>
      <c r="M51" s="458" t="s">
        <v>70</v>
      </c>
      <c r="N51" s="459"/>
      <c r="O51" s="459"/>
      <c r="P51" s="460"/>
    </row>
    <row r="52" spans="1:16" s="128" customFormat="1" ht="186.75" customHeight="1">
      <c r="A52" s="129">
        <v>2</v>
      </c>
      <c r="B52" s="457" t="s">
        <v>66</v>
      </c>
      <c r="C52" s="457"/>
      <c r="D52" s="190" t="s">
        <v>67</v>
      </c>
      <c r="E52" s="190" t="str">
        <f>E51</f>
        <v>GREY HEATHER</v>
      </c>
      <c r="F52" s="129" t="s">
        <v>38</v>
      </c>
      <c r="G52" s="191">
        <f>$P$25</f>
        <v>769</v>
      </c>
      <c r="H52" s="192">
        <v>0.255</v>
      </c>
      <c r="I52" s="179">
        <f>G52*H52</f>
        <v>196.095</v>
      </c>
      <c r="J52" s="176">
        <f>I52*0.7%+(I52/50)*0.5+2</f>
        <v>5.333615</v>
      </c>
      <c r="K52" s="175"/>
      <c r="L52" s="361">
        <f>SUBTOTAL(9,I52:K52)</f>
        <v>201.42861500000001</v>
      </c>
      <c r="M52" s="458" t="s">
        <v>71</v>
      </c>
      <c r="N52" s="459"/>
      <c r="O52" s="459"/>
      <c r="P52" s="460"/>
    </row>
    <row r="53" spans="1:16" s="128" customFormat="1" ht="186.75" customHeight="1">
      <c r="A53" s="129">
        <v>3</v>
      </c>
      <c r="B53" s="461" t="s">
        <v>68</v>
      </c>
      <c r="C53" s="461"/>
      <c r="D53" s="190" t="s">
        <v>69</v>
      </c>
      <c r="E53" s="190" t="str">
        <f>E52</f>
        <v>GREY HEATHER</v>
      </c>
      <c r="F53" s="129" t="s">
        <v>38</v>
      </c>
      <c r="G53" s="191">
        <f>$P$25</f>
        <v>769</v>
      </c>
      <c r="H53" s="130">
        <v>1.4999999999999999E-2</v>
      </c>
      <c r="I53" s="179">
        <f>G53*H53</f>
        <v>11.535</v>
      </c>
      <c r="J53" s="176">
        <f>I53*0.7%+(I53/50)*0.5+1</f>
        <v>1.1960950000000001</v>
      </c>
      <c r="K53" s="175"/>
      <c r="L53" s="361">
        <f>SUBTOTAL(9,I53:K53)</f>
        <v>12.731095</v>
      </c>
      <c r="M53" s="458" t="s">
        <v>72</v>
      </c>
      <c r="N53" s="459"/>
      <c r="O53" s="459"/>
      <c r="P53" s="460"/>
    </row>
    <row r="54" spans="1:16" s="34" customFormat="1" ht="51.75" hidden="1" customHeight="1">
      <c r="A54" s="454" t="str">
        <f>D28</f>
        <v>WASHED BURGUNDY</v>
      </c>
      <c r="B54" s="455"/>
      <c r="C54" s="455"/>
      <c r="D54" s="455"/>
      <c r="E54" s="455"/>
      <c r="F54" s="455"/>
      <c r="G54" s="455"/>
      <c r="H54" s="455"/>
      <c r="I54" s="455"/>
      <c r="J54" s="455"/>
      <c r="K54" s="455"/>
      <c r="L54" s="455"/>
      <c r="M54" s="455"/>
      <c r="N54" s="455"/>
      <c r="O54" s="455"/>
      <c r="P54" s="456"/>
    </row>
    <row r="55" spans="1:16" s="128" customFormat="1" ht="96.75" hidden="1" customHeight="1">
      <c r="A55" s="129">
        <v>1</v>
      </c>
      <c r="B55" s="457" t="str">
        <f>$L$11</f>
        <v>100% DRY COTTON FLEECE 410GSM</v>
      </c>
      <c r="C55" s="457"/>
      <c r="D55" s="190" t="s">
        <v>65</v>
      </c>
      <c r="E55" s="190" t="str">
        <f>A54</f>
        <v>WASHED BURGUNDY</v>
      </c>
      <c r="F55" s="129" t="s">
        <v>38</v>
      </c>
      <c r="G55" s="191">
        <f>$P$20</f>
        <v>0</v>
      </c>
      <c r="H55" s="192">
        <v>1.5</v>
      </c>
      <c r="I55" s="179">
        <f>G55*H55</f>
        <v>0</v>
      </c>
      <c r="J55" s="179"/>
      <c r="K55" s="179"/>
      <c r="L55" s="361"/>
      <c r="M55" s="458"/>
      <c r="N55" s="459"/>
      <c r="O55" s="459"/>
      <c r="P55" s="460"/>
    </row>
    <row r="56" spans="1:16" s="128" customFormat="1" ht="70.5" hidden="1" customHeight="1">
      <c r="A56" s="129">
        <v>2</v>
      </c>
      <c r="B56" s="457" t="s">
        <v>66</v>
      </c>
      <c r="C56" s="457"/>
      <c r="D56" s="190" t="s">
        <v>67</v>
      </c>
      <c r="E56" s="190" t="str">
        <f>E55</f>
        <v>WASHED BURGUNDY</v>
      </c>
      <c r="F56" s="129" t="s">
        <v>38</v>
      </c>
      <c r="G56" s="191">
        <f>$P$20</f>
        <v>0</v>
      </c>
      <c r="H56" s="192">
        <v>0.3</v>
      </c>
      <c r="I56" s="179">
        <f>G56*H56</f>
        <v>0</v>
      </c>
      <c r="J56" s="179"/>
      <c r="K56" s="179"/>
      <c r="L56" s="361"/>
      <c r="M56" s="458"/>
      <c r="N56" s="459"/>
      <c r="O56" s="459"/>
      <c r="P56" s="460"/>
    </row>
    <row r="57" spans="1:16" s="128" customFormat="1" ht="125.25" hidden="1" customHeight="1">
      <c r="A57" s="129">
        <v>3</v>
      </c>
      <c r="B57" s="461" t="s">
        <v>68</v>
      </c>
      <c r="C57" s="461"/>
      <c r="D57" s="190" t="s">
        <v>69</v>
      </c>
      <c r="E57" s="190" t="str">
        <f>E56</f>
        <v>WASHED BURGUNDY</v>
      </c>
      <c r="F57" s="129" t="s">
        <v>38</v>
      </c>
      <c r="G57" s="191">
        <f>$P$20</f>
        <v>0</v>
      </c>
      <c r="H57" s="130">
        <v>0.3</v>
      </c>
      <c r="I57" s="179">
        <f>G57*H57</f>
        <v>0</v>
      </c>
      <c r="J57" s="179"/>
      <c r="K57" s="179"/>
      <c r="L57" s="361"/>
      <c r="M57" s="458"/>
      <c r="N57" s="459"/>
      <c r="O57" s="459"/>
      <c r="P57" s="460"/>
    </row>
    <row r="58" spans="1:16" s="34" customFormat="1" ht="51.75" hidden="1" customHeight="1">
      <c r="A58" s="454" t="str">
        <f>D33</f>
        <v>LIME</v>
      </c>
      <c r="B58" s="455"/>
      <c r="C58" s="455"/>
      <c r="D58" s="455"/>
      <c r="E58" s="455"/>
      <c r="F58" s="455"/>
      <c r="G58" s="455"/>
      <c r="H58" s="455"/>
      <c r="I58" s="455"/>
      <c r="J58" s="455"/>
      <c r="K58" s="455"/>
      <c r="L58" s="455"/>
      <c r="M58" s="455"/>
      <c r="N58" s="455"/>
      <c r="O58" s="455"/>
      <c r="P58" s="456"/>
    </row>
    <row r="59" spans="1:16" s="128" customFormat="1" ht="96.75" hidden="1" customHeight="1">
      <c r="A59" s="129">
        <v>1</v>
      </c>
      <c r="B59" s="457" t="str">
        <f>$L$11</f>
        <v>100% DRY COTTON FLEECE 410GSM</v>
      </c>
      <c r="C59" s="457"/>
      <c r="D59" s="190" t="s">
        <v>65</v>
      </c>
      <c r="E59" s="190" t="str">
        <f>A58</f>
        <v>LIME</v>
      </c>
      <c r="F59" s="129" t="s">
        <v>38</v>
      </c>
      <c r="G59" s="191">
        <f>$P$20</f>
        <v>0</v>
      </c>
      <c r="H59" s="192">
        <v>1.5</v>
      </c>
      <c r="I59" s="179">
        <f>G59*H59</f>
        <v>0</v>
      </c>
      <c r="J59" s="179"/>
      <c r="K59" s="179"/>
      <c r="L59" s="361"/>
      <c r="M59" s="458"/>
      <c r="N59" s="459"/>
      <c r="O59" s="459"/>
      <c r="P59" s="460"/>
    </row>
    <row r="60" spans="1:16" s="128" customFormat="1" ht="70.5" hidden="1" customHeight="1">
      <c r="A60" s="129">
        <v>2</v>
      </c>
      <c r="B60" s="457" t="s">
        <v>66</v>
      </c>
      <c r="C60" s="457"/>
      <c r="D60" s="190" t="s">
        <v>67</v>
      </c>
      <c r="E60" s="190" t="str">
        <f>E59</f>
        <v>LIME</v>
      </c>
      <c r="F60" s="129" t="s">
        <v>38</v>
      </c>
      <c r="G60" s="191">
        <f>$P$20</f>
        <v>0</v>
      </c>
      <c r="H60" s="192">
        <v>0.3</v>
      </c>
      <c r="I60" s="179">
        <f>G60*H60</f>
        <v>0</v>
      </c>
      <c r="J60" s="179"/>
      <c r="K60" s="179"/>
      <c r="L60" s="361"/>
      <c r="M60" s="458"/>
      <c r="N60" s="459"/>
      <c r="O60" s="459"/>
      <c r="P60" s="460"/>
    </row>
    <row r="61" spans="1:16" s="128" customFormat="1" ht="125.25" hidden="1" customHeight="1">
      <c r="A61" s="129">
        <v>3</v>
      </c>
      <c r="B61" s="461" t="s">
        <v>68</v>
      </c>
      <c r="C61" s="461"/>
      <c r="D61" s="190" t="s">
        <v>69</v>
      </c>
      <c r="E61" s="190" t="str">
        <f>E60</f>
        <v>LIME</v>
      </c>
      <c r="F61" s="129" t="s">
        <v>38</v>
      </c>
      <c r="G61" s="191">
        <f>$P$20</f>
        <v>0</v>
      </c>
      <c r="H61" s="130">
        <v>0.3</v>
      </c>
      <c r="I61" s="179">
        <f>G61*H61</f>
        <v>0</v>
      </c>
      <c r="J61" s="179"/>
      <c r="K61" s="179"/>
      <c r="L61" s="361"/>
      <c r="M61" s="458"/>
      <c r="N61" s="459"/>
      <c r="O61" s="459"/>
      <c r="P61" s="460"/>
    </row>
    <row r="62" spans="1:16" s="34" customFormat="1" ht="21.75" customHeight="1">
      <c r="A62" s="454"/>
      <c r="B62" s="455"/>
      <c r="C62" s="455"/>
      <c r="D62" s="455"/>
      <c r="E62" s="455"/>
      <c r="F62" s="455"/>
      <c r="G62" s="455"/>
      <c r="H62" s="455"/>
      <c r="I62" s="455"/>
      <c r="J62" s="455"/>
      <c r="K62" s="455"/>
      <c r="L62" s="455"/>
      <c r="M62" s="455"/>
      <c r="N62" s="455"/>
      <c r="O62" s="455"/>
      <c r="P62" s="456"/>
    </row>
    <row r="63" spans="1:16" s="26" customFormat="1" ht="33" thickBot="1">
      <c r="B63" s="87" t="s">
        <v>73</v>
      </c>
      <c r="C63" s="27"/>
      <c r="D63" s="27"/>
      <c r="E63" s="27"/>
      <c r="G63" s="28"/>
      <c r="P63" s="29"/>
    </row>
    <row r="64" spans="1:16" s="40" customFormat="1" ht="96">
      <c r="A64" s="442" t="s">
        <v>74</v>
      </c>
      <c r="B64" s="443"/>
      <c r="C64" s="443"/>
      <c r="D64" s="443"/>
      <c r="E64" s="444"/>
      <c r="F64" s="84" t="s">
        <v>75</v>
      </c>
      <c r="G64" s="84" t="s">
        <v>76</v>
      </c>
      <c r="H64" s="445" t="s">
        <v>77</v>
      </c>
      <c r="I64" s="446"/>
      <c r="J64" s="85" t="s">
        <v>57</v>
      </c>
      <c r="K64" s="84" t="s">
        <v>78</v>
      </c>
      <c r="L64" s="84" t="s">
        <v>79</v>
      </c>
      <c r="M64" s="86" t="s">
        <v>80</v>
      </c>
      <c r="N64" s="86" t="s">
        <v>81</v>
      </c>
      <c r="O64" s="86" t="s">
        <v>82</v>
      </c>
      <c r="P64" s="86" t="s">
        <v>83</v>
      </c>
    </row>
    <row r="65" spans="1:16" s="15" customFormat="1" ht="57.75" hidden="1" customHeight="1">
      <c r="A65" s="327">
        <v>1</v>
      </c>
      <c r="B65" s="430" t="s">
        <v>84</v>
      </c>
      <c r="C65" s="430"/>
      <c r="D65" s="430"/>
      <c r="E65" s="430"/>
      <c r="F65" s="181" t="str">
        <f>H65</f>
        <v>BLACK</v>
      </c>
      <c r="G65" s="212"/>
      <c r="H65" s="434" t="str">
        <f>$D$18</f>
        <v>BLACK</v>
      </c>
      <c r="I65" s="433" t="str">
        <f t="shared" ref="I65:I88" si="0">$E$47</f>
        <v>BLACK</v>
      </c>
      <c r="J65" s="183" t="s">
        <v>85</v>
      </c>
      <c r="K65" s="183">
        <f>$P$20</f>
        <v>0</v>
      </c>
      <c r="L65" s="364">
        <f>195/5000</f>
        <v>3.9E-2</v>
      </c>
      <c r="M65" s="188">
        <f t="shared" ref="M65:M72" si="1">K65*L65</f>
        <v>0</v>
      </c>
      <c r="N65" s="188"/>
      <c r="O65" s="185">
        <f t="shared" ref="O65:O88" si="2">ROUNDUP(N65+M65,0)</f>
        <v>0</v>
      </c>
      <c r="P65" s="365"/>
    </row>
    <row r="66" spans="1:16" s="15" customFormat="1" ht="84" customHeight="1">
      <c r="A66" s="327">
        <v>1</v>
      </c>
      <c r="B66" s="430" t="s">
        <v>84</v>
      </c>
      <c r="C66" s="430"/>
      <c r="D66" s="430"/>
      <c r="E66" s="430"/>
      <c r="F66" s="181" t="str">
        <f>H66</f>
        <v>GREY HEATHER</v>
      </c>
      <c r="G66" s="212" t="s">
        <v>86</v>
      </c>
      <c r="H66" s="434" t="str">
        <f>$D$23</f>
        <v>GREY HEATHER</v>
      </c>
      <c r="I66" s="433" t="str">
        <f t="shared" si="0"/>
        <v>BLACK</v>
      </c>
      <c r="J66" s="183" t="s">
        <v>85</v>
      </c>
      <c r="K66" s="183">
        <f>$P$25</f>
        <v>769</v>
      </c>
      <c r="L66" s="364">
        <f>185/5000</f>
        <v>3.6999999999999998E-2</v>
      </c>
      <c r="M66" s="188">
        <f t="shared" si="1"/>
        <v>28.452999999999999</v>
      </c>
      <c r="N66" s="188"/>
      <c r="O66" s="185">
        <f t="shared" si="2"/>
        <v>29</v>
      </c>
      <c r="P66" s="365"/>
    </row>
    <row r="67" spans="1:16" s="15" customFormat="1" ht="57.75" hidden="1" customHeight="1">
      <c r="A67" s="327">
        <v>1</v>
      </c>
      <c r="B67" s="430" t="s">
        <v>84</v>
      </c>
      <c r="C67" s="430"/>
      <c r="D67" s="430"/>
      <c r="E67" s="430"/>
      <c r="F67" s="181" t="str">
        <f>H67</f>
        <v>WASHED BURGUNDY</v>
      </c>
      <c r="G67" s="212"/>
      <c r="H67" s="434" t="str">
        <f>$D$28</f>
        <v>WASHED BURGUNDY</v>
      </c>
      <c r="I67" s="433" t="str">
        <f t="shared" si="0"/>
        <v>BLACK</v>
      </c>
      <c r="J67" s="183" t="s">
        <v>85</v>
      </c>
      <c r="K67" s="183">
        <f>$P$30</f>
        <v>0</v>
      </c>
      <c r="L67" s="364">
        <f>195/5000</f>
        <v>3.9E-2</v>
      </c>
      <c r="M67" s="188">
        <f t="shared" si="1"/>
        <v>0</v>
      </c>
      <c r="N67" s="188"/>
      <c r="O67" s="185">
        <f t="shared" si="2"/>
        <v>0</v>
      </c>
      <c r="P67" s="365"/>
    </row>
    <row r="68" spans="1:16" s="15" customFormat="1" ht="57.75" hidden="1" customHeight="1">
      <c r="A68" s="327">
        <v>1</v>
      </c>
      <c r="B68" s="430" t="s">
        <v>84</v>
      </c>
      <c r="C68" s="430"/>
      <c r="D68" s="430"/>
      <c r="E68" s="430"/>
      <c r="F68" s="181" t="str">
        <f>H68</f>
        <v>LIME</v>
      </c>
      <c r="G68" s="212"/>
      <c r="H68" s="434" t="str">
        <f>$D$33</f>
        <v>LIME</v>
      </c>
      <c r="I68" s="433" t="str">
        <f t="shared" si="0"/>
        <v>BLACK</v>
      </c>
      <c r="J68" s="183" t="s">
        <v>85</v>
      </c>
      <c r="K68" s="183">
        <f>$P$35</f>
        <v>0</v>
      </c>
      <c r="L68" s="364">
        <f>195/5000</f>
        <v>3.9E-2</v>
      </c>
      <c r="M68" s="188">
        <f t="shared" si="1"/>
        <v>0</v>
      </c>
      <c r="N68" s="188"/>
      <c r="O68" s="185">
        <f t="shared" si="2"/>
        <v>0</v>
      </c>
      <c r="P68" s="365"/>
    </row>
    <row r="69" spans="1:16" s="15" customFormat="1" ht="57.75" hidden="1" customHeight="1">
      <c r="A69" s="327">
        <v>2</v>
      </c>
      <c r="B69" s="430" t="s">
        <v>87</v>
      </c>
      <c r="C69" s="430"/>
      <c r="D69" s="430"/>
      <c r="E69" s="430"/>
      <c r="F69" s="436" t="s">
        <v>44</v>
      </c>
      <c r="G69" s="439" t="s">
        <v>88</v>
      </c>
      <c r="H69" s="451" t="str">
        <f>$D$18</f>
        <v>BLACK</v>
      </c>
      <c r="I69" s="452" t="str">
        <f t="shared" si="0"/>
        <v>BLACK</v>
      </c>
      <c r="J69" s="183" t="s">
        <v>85</v>
      </c>
      <c r="K69" s="183">
        <f>$P$20</f>
        <v>0</v>
      </c>
      <c r="L69" s="366">
        <f>4/4500</f>
        <v>8.8888888888888893E-4</v>
      </c>
      <c r="M69" s="188">
        <f t="shared" si="1"/>
        <v>0</v>
      </c>
      <c r="N69" s="188"/>
      <c r="O69" s="185">
        <f t="shared" si="2"/>
        <v>0</v>
      </c>
      <c r="P69" s="365"/>
    </row>
    <row r="70" spans="1:16" s="15" customFormat="1" ht="84" customHeight="1">
      <c r="A70" s="327">
        <v>2</v>
      </c>
      <c r="B70" s="430" t="s">
        <v>87</v>
      </c>
      <c r="C70" s="430"/>
      <c r="D70" s="430"/>
      <c r="E70" s="430"/>
      <c r="F70" s="449" t="s">
        <v>44</v>
      </c>
      <c r="G70" s="450" t="s">
        <v>88</v>
      </c>
      <c r="H70" s="453" t="str">
        <f>$D$23</f>
        <v>GREY HEATHER</v>
      </c>
      <c r="I70" s="453" t="str">
        <f t="shared" si="0"/>
        <v>BLACK</v>
      </c>
      <c r="J70" s="183" t="s">
        <v>85</v>
      </c>
      <c r="K70" s="183">
        <f>$P$25</f>
        <v>769</v>
      </c>
      <c r="L70" s="366">
        <f>4/4500</f>
        <v>8.8888888888888893E-4</v>
      </c>
      <c r="M70" s="188">
        <f t="shared" si="1"/>
        <v>0.68355555555555558</v>
      </c>
      <c r="N70" s="188"/>
      <c r="O70" s="185">
        <f t="shared" si="2"/>
        <v>1</v>
      </c>
      <c r="P70" s="365"/>
    </row>
    <row r="71" spans="1:16" s="15" customFormat="1" ht="57.75" hidden="1" customHeight="1">
      <c r="A71" s="327">
        <v>2</v>
      </c>
      <c r="B71" s="430" t="s">
        <v>87</v>
      </c>
      <c r="C71" s="430"/>
      <c r="D71" s="430"/>
      <c r="E71" s="430"/>
      <c r="F71" s="437" t="s">
        <v>44</v>
      </c>
      <c r="G71" s="440" t="s">
        <v>88</v>
      </c>
      <c r="H71" s="447" t="str">
        <f>$D$28</f>
        <v>WASHED BURGUNDY</v>
      </c>
      <c r="I71" s="448" t="str">
        <f t="shared" si="0"/>
        <v>BLACK</v>
      </c>
      <c r="J71" s="183" t="s">
        <v>85</v>
      </c>
      <c r="K71" s="183">
        <f>$P$30</f>
        <v>0</v>
      </c>
      <c r="L71" s="366">
        <f>4/4500</f>
        <v>8.8888888888888893E-4</v>
      </c>
      <c r="M71" s="188">
        <f t="shared" si="1"/>
        <v>0</v>
      </c>
      <c r="N71" s="188"/>
      <c r="O71" s="185">
        <f t="shared" si="2"/>
        <v>0</v>
      </c>
      <c r="P71" s="365"/>
    </row>
    <row r="72" spans="1:16" s="15" customFormat="1" ht="57.75" hidden="1" customHeight="1">
      <c r="A72" s="327">
        <v>2</v>
      </c>
      <c r="B72" s="430" t="s">
        <v>87</v>
      </c>
      <c r="C72" s="430"/>
      <c r="D72" s="430"/>
      <c r="E72" s="430"/>
      <c r="F72" s="438" t="s">
        <v>44</v>
      </c>
      <c r="G72" s="441" t="s">
        <v>88</v>
      </c>
      <c r="H72" s="434" t="str">
        <f>$D$33</f>
        <v>LIME</v>
      </c>
      <c r="I72" s="433" t="str">
        <f t="shared" si="0"/>
        <v>BLACK</v>
      </c>
      <c r="J72" s="183" t="s">
        <v>85</v>
      </c>
      <c r="K72" s="183">
        <f>$P$35</f>
        <v>0</v>
      </c>
      <c r="L72" s="366">
        <f>4/4500</f>
        <v>8.8888888888888893E-4</v>
      </c>
      <c r="M72" s="188">
        <f t="shared" si="1"/>
        <v>0</v>
      </c>
      <c r="N72" s="188"/>
      <c r="O72" s="185">
        <f t="shared" si="2"/>
        <v>0</v>
      </c>
      <c r="P72" s="365"/>
    </row>
    <row r="73" spans="1:16" s="15" customFormat="1" ht="57.75" hidden="1" customHeight="1">
      <c r="A73" s="327">
        <v>3</v>
      </c>
      <c r="B73" s="429" t="s">
        <v>89</v>
      </c>
      <c r="C73" s="430"/>
      <c r="D73" s="430"/>
      <c r="E73" s="430"/>
      <c r="F73" s="436" t="s">
        <v>90</v>
      </c>
      <c r="G73" s="439" t="s">
        <v>91</v>
      </c>
      <c r="H73" s="451" t="str">
        <f>$D$18</f>
        <v>BLACK</v>
      </c>
      <c r="I73" s="452" t="str">
        <f t="shared" si="0"/>
        <v>BLACK</v>
      </c>
      <c r="J73" s="183" t="s">
        <v>92</v>
      </c>
      <c r="K73" s="183">
        <f>$P$20</f>
        <v>0</v>
      </c>
      <c r="L73" s="183">
        <v>1</v>
      </c>
      <c r="M73" s="183">
        <f t="shared" ref="M73:M84" si="3">L73*K73</f>
        <v>0</v>
      </c>
      <c r="N73" s="188"/>
      <c r="O73" s="185">
        <f t="shared" si="2"/>
        <v>0</v>
      </c>
      <c r="P73" s="365"/>
    </row>
    <row r="74" spans="1:16" s="15" customFormat="1" ht="84" customHeight="1">
      <c r="A74" s="327">
        <v>3</v>
      </c>
      <c r="B74" s="429" t="s">
        <v>89</v>
      </c>
      <c r="C74" s="430"/>
      <c r="D74" s="430"/>
      <c r="E74" s="430"/>
      <c r="F74" s="449"/>
      <c r="G74" s="450"/>
      <c r="H74" s="453" t="str">
        <f>$D$23</f>
        <v>GREY HEATHER</v>
      </c>
      <c r="I74" s="453" t="str">
        <f t="shared" si="0"/>
        <v>BLACK</v>
      </c>
      <c r="J74" s="183" t="s">
        <v>92</v>
      </c>
      <c r="K74" s="183">
        <f>$P$25</f>
        <v>769</v>
      </c>
      <c r="L74" s="183">
        <v>1</v>
      </c>
      <c r="M74" s="183">
        <f t="shared" si="3"/>
        <v>769</v>
      </c>
      <c r="N74" s="188"/>
      <c r="O74" s="185">
        <f t="shared" si="2"/>
        <v>769</v>
      </c>
      <c r="P74" s="365"/>
    </row>
    <row r="75" spans="1:16" s="15" customFormat="1" ht="57.75" hidden="1" customHeight="1">
      <c r="A75" s="327">
        <v>3</v>
      </c>
      <c r="B75" s="429" t="s">
        <v>89</v>
      </c>
      <c r="C75" s="430"/>
      <c r="D75" s="430"/>
      <c r="E75" s="430"/>
      <c r="F75" s="437"/>
      <c r="G75" s="440"/>
      <c r="H75" s="447" t="str">
        <f>$D$28</f>
        <v>WASHED BURGUNDY</v>
      </c>
      <c r="I75" s="448" t="str">
        <f t="shared" si="0"/>
        <v>BLACK</v>
      </c>
      <c r="J75" s="183" t="s">
        <v>92</v>
      </c>
      <c r="K75" s="183">
        <f>$P$30</f>
        <v>0</v>
      </c>
      <c r="L75" s="183">
        <v>1</v>
      </c>
      <c r="M75" s="183">
        <f t="shared" si="3"/>
        <v>0</v>
      </c>
      <c r="N75" s="188"/>
      <c r="O75" s="185">
        <f t="shared" si="2"/>
        <v>0</v>
      </c>
      <c r="P75" s="365"/>
    </row>
    <row r="76" spans="1:16" s="15" customFormat="1" ht="57.75" hidden="1" customHeight="1">
      <c r="A76" s="327">
        <v>3</v>
      </c>
      <c r="B76" s="429" t="s">
        <v>89</v>
      </c>
      <c r="C76" s="430"/>
      <c r="D76" s="430"/>
      <c r="E76" s="430"/>
      <c r="F76" s="438"/>
      <c r="G76" s="441"/>
      <c r="H76" s="434" t="str">
        <f>$D$33</f>
        <v>LIME</v>
      </c>
      <c r="I76" s="433" t="str">
        <f t="shared" si="0"/>
        <v>BLACK</v>
      </c>
      <c r="J76" s="183" t="s">
        <v>92</v>
      </c>
      <c r="K76" s="183">
        <f>$P$35</f>
        <v>0</v>
      </c>
      <c r="L76" s="183">
        <v>1</v>
      </c>
      <c r="M76" s="183">
        <f t="shared" si="3"/>
        <v>0</v>
      </c>
      <c r="N76" s="188"/>
      <c r="O76" s="185">
        <f t="shared" si="2"/>
        <v>0</v>
      </c>
      <c r="P76" s="365"/>
    </row>
    <row r="77" spans="1:16" s="15" customFormat="1" ht="57.75" hidden="1" customHeight="1">
      <c r="A77" s="327">
        <v>4</v>
      </c>
      <c r="B77" s="429" t="s">
        <v>93</v>
      </c>
      <c r="C77" s="430"/>
      <c r="D77" s="430"/>
      <c r="E77" s="430"/>
      <c r="F77" s="436" t="s">
        <v>90</v>
      </c>
      <c r="G77" s="439" t="s">
        <v>94</v>
      </c>
      <c r="H77" s="451" t="str">
        <f>$D$18</f>
        <v>BLACK</v>
      </c>
      <c r="I77" s="452" t="str">
        <f t="shared" si="0"/>
        <v>BLACK</v>
      </c>
      <c r="J77" s="183" t="s">
        <v>92</v>
      </c>
      <c r="K77" s="183">
        <f>$P$20</f>
        <v>0</v>
      </c>
      <c r="L77" s="183">
        <v>1</v>
      </c>
      <c r="M77" s="183">
        <f t="shared" si="3"/>
        <v>0</v>
      </c>
      <c r="N77" s="188"/>
      <c r="O77" s="185">
        <f t="shared" si="2"/>
        <v>0</v>
      </c>
      <c r="P77" s="365"/>
    </row>
    <row r="78" spans="1:16" s="15" customFormat="1" ht="84" customHeight="1">
      <c r="A78" s="327">
        <v>4</v>
      </c>
      <c r="B78" s="429" t="s">
        <v>93</v>
      </c>
      <c r="C78" s="430"/>
      <c r="D78" s="430"/>
      <c r="E78" s="430"/>
      <c r="F78" s="449"/>
      <c r="G78" s="450"/>
      <c r="H78" s="453" t="str">
        <f>$D$23</f>
        <v>GREY HEATHER</v>
      </c>
      <c r="I78" s="453" t="str">
        <f t="shared" si="0"/>
        <v>BLACK</v>
      </c>
      <c r="J78" s="183" t="s">
        <v>92</v>
      </c>
      <c r="K78" s="183">
        <f>$P$25</f>
        <v>769</v>
      </c>
      <c r="L78" s="183">
        <v>1</v>
      </c>
      <c r="M78" s="183">
        <f t="shared" si="3"/>
        <v>769</v>
      </c>
      <c r="N78" s="188"/>
      <c r="O78" s="185">
        <f t="shared" si="2"/>
        <v>769</v>
      </c>
      <c r="P78" s="365"/>
    </row>
    <row r="79" spans="1:16" s="15" customFormat="1" ht="57.75" hidden="1" customHeight="1">
      <c r="A79" s="327">
        <v>4</v>
      </c>
      <c r="B79" s="429" t="s">
        <v>93</v>
      </c>
      <c r="C79" s="430"/>
      <c r="D79" s="430"/>
      <c r="E79" s="430"/>
      <c r="F79" s="437"/>
      <c r="G79" s="440"/>
      <c r="H79" s="447" t="str">
        <f>$D$28</f>
        <v>WASHED BURGUNDY</v>
      </c>
      <c r="I79" s="448" t="str">
        <f t="shared" si="0"/>
        <v>BLACK</v>
      </c>
      <c r="J79" s="183" t="s">
        <v>92</v>
      </c>
      <c r="K79" s="183">
        <f>$P$30</f>
        <v>0</v>
      </c>
      <c r="L79" s="183">
        <v>1</v>
      </c>
      <c r="M79" s="183">
        <f t="shared" si="3"/>
        <v>0</v>
      </c>
      <c r="N79" s="188"/>
      <c r="O79" s="185">
        <f t="shared" si="2"/>
        <v>0</v>
      </c>
      <c r="P79" s="365"/>
    </row>
    <row r="80" spans="1:16" s="15" customFormat="1" ht="57.75" hidden="1" customHeight="1">
      <c r="A80" s="327">
        <v>4</v>
      </c>
      <c r="B80" s="429" t="s">
        <v>93</v>
      </c>
      <c r="C80" s="430"/>
      <c r="D80" s="430"/>
      <c r="E80" s="430"/>
      <c r="F80" s="438"/>
      <c r="G80" s="441"/>
      <c r="H80" s="434" t="str">
        <f>$D$33</f>
        <v>LIME</v>
      </c>
      <c r="I80" s="433" t="str">
        <f t="shared" si="0"/>
        <v>BLACK</v>
      </c>
      <c r="J80" s="183" t="s">
        <v>92</v>
      </c>
      <c r="K80" s="183">
        <f>$P$35</f>
        <v>0</v>
      </c>
      <c r="L80" s="183">
        <v>1</v>
      </c>
      <c r="M80" s="183">
        <f t="shared" si="3"/>
        <v>0</v>
      </c>
      <c r="N80" s="188"/>
      <c r="O80" s="185">
        <f t="shared" si="2"/>
        <v>0</v>
      </c>
      <c r="P80" s="365"/>
    </row>
    <row r="81" spans="1:16" s="15" customFormat="1" ht="57.75" hidden="1" customHeight="1">
      <c r="A81" s="327">
        <v>5</v>
      </c>
      <c r="B81" s="429" t="s">
        <v>95</v>
      </c>
      <c r="C81" s="430"/>
      <c r="D81" s="430"/>
      <c r="E81" s="430"/>
      <c r="F81" s="436" t="s">
        <v>96</v>
      </c>
      <c r="G81" s="439"/>
      <c r="H81" s="451" t="str">
        <f>$D$18</f>
        <v>BLACK</v>
      </c>
      <c r="I81" s="452" t="str">
        <f t="shared" si="0"/>
        <v>BLACK</v>
      </c>
      <c r="J81" s="183" t="s">
        <v>92</v>
      </c>
      <c r="K81" s="183">
        <f>$P$20</f>
        <v>0</v>
      </c>
      <c r="L81" s="183">
        <v>1</v>
      </c>
      <c r="M81" s="183">
        <f t="shared" si="3"/>
        <v>0</v>
      </c>
      <c r="N81" s="188"/>
      <c r="O81" s="185">
        <f t="shared" si="2"/>
        <v>0</v>
      </c>
      <c r="P81" s="365"/>
    </row>
    <row r="82" spans="1:16" s="15" customFormat="1" ht="84" customHeight="1">
      <c r="A82" s="327">
        <v>5</v>
      </c>
      <c r="B82" s="429" t="s">
        <v>95</v>
      </c>
      <c r="C82" s="430"/>
      <c r="D82" s="430"/>
      <c r="E82" s="430"/>
      <c r="F82" s="449"/>
      <c r="G82" s="450"/>
      <c r="H82" s="453" t="str">
        <f>$D$23</f>
        <v>GREY HEATHER</v>
      </c>
      <c r="I82" s="453" t="str">
        <f t="shared" si="0"/>
        <v>BLACK</v>
      </c>
      <c r="J82" s="183" t="s">
        <v>92</v>
      </c>
      <c r="K82" s="183">
        <f>$P$25</f>
        <v>769</v>
      </c>
      <c r="L82" s="183">
        <v>1</v>
      </c>
      <c r="M82" s="183">
        <f t="shared" si="3"/>
        <v>769</v>
      </c>
      <c r="N82" s="188"/>
      <c r="O82" s="185">
        <f t="shared" si="2"/>
        <v>769</v>
      </c>
      <c r="P82" s="365" t="s">
        <v>97</v>
      </c>
    </row>
    <row r="83" spans="1:16" s="15" customFormat="1" ht="57.75" hidden="1" customHeight="1">
      <c r="A83" s="327">
        <v>5</v>
      </c>
      <c r="B83" s="429" t="s">
        <v>95</v>
      </c>
      <c r="C83" s="430"/>
      <c r="D83" s="430"/>
      <c r="E83" s="430"/>
      <c r="F83" s="437"/>
      <c r="G83" s="440"/>
      <c r="H83" s="447" t="str">
        <f>$D$28</f>
        <v>WASHED BURGUNDY</v>
      </c>
      <c r="I83" s="448" t="str">
        <f t="shared" si="0"/>
        <v>BLACK</v>
      </c>
      <c r="J83" s="183" t="s">
        <v>92</v>
      </c>
      <c r="K83" s="183">
        <f>$P$30</f>
        <v>0</v>
      </c>
      <c r="L83" s="183">
        <v>1</v>
      </c>
      <c r="M83" s="183">
        <f t="shared" si="3"/>
        <v>0</v>
      </c>
      <c r="N83" s="188"/>
      <c r="O83" s="185">
        <f t="shared" si="2"/>
        <v>0</v>
      </c>
      <c r="P83" s="365"/>
    </row>
    <row r="84" spans="1:16" s="15" customFormat="1" ht="57.75" hidden="1" customHeight="1">
      <c r="A84" s="327">
        <v>5</v>
      </c>
      <c r="B84" s="429" t="s">
        <v>95</v>
      </c>
      <c r="C84" s="430"/>
      <c r="D84" s="430"/>
      <c r="E84" s="430"/>
      <c r="F84" s="438"/>
      <c r="G84" s="441"/>
      <c r="H84" s="434" t="str">
        <f>$D$33</f>
        <v>LIME</v>
      </c>
      <c r="I84" s="433" t="str">
        <f t="shared" si="0"/>
        <v>BLACK</v>
      </c>
      <c r="J84" s="183" t="s">
        <v>92</v>
      </c>
      <c r="K84" s="183">
        <f>$P$35</f>
        <v>0</v>
      </c>
      <c r="L84" s="183">
        <v>1</v>
      </c>
      <c r="M84" s="183">
        <f t="shared" si="3"/>
        <v>0</v>
      </c>
      <c r="N84" s="188"/>
      <c r="O84" s="185">
        <f t="shared" si="2"/>
        <v>0</v>
      </c>
      <c r="P84" s="365"/>
    </row>
    <row r="85" spans="1:16" s="15" customFormat="1" ht="57.75" hidden="1" customHeight="1">
      <c r="A85" s="327">
        <v>6</v>
      </c>
      <c r="B85" s="430" t="s">
        <v>98</v>
      </c>
      <c r="C85" s="430"/>
      <c r="D85" s="430"/>
      <c r="E85" s="430"/>
      <c r="F85" s="436" t="s">
        <v>99</v>
      </c>
      <c r="G85" s="439" t="s">
        <v>100</v>
      </c>
      <c r="H85" s="451" t="str">
        <f>$D$18</f>
        <v>BLACK</v>
      </c>
      <c r="I85" s="452" t="str">
        <f t="shared" si="0"/>
        <v>BLACK</v>
      </c>
      <c r="J85" s="183" t="s">
        <v>92</v>
      </c>
      <c r="K85" s="183">
        <f>$P$20</f>
        <v>0</v>
      </c>
      <c r="L85" s="183">
        <v>1</v>
      </c>
      <c r="M85" s="188">
        <f>K85*L85</f>
        <v>0</v>
      </c>
      <c r="N85" s="188"/>
      <c r="O85" s="185">
        <f t="shared" si="2"/>
        <v>0</v>
      </c>
      <c r="P85" s="365"/>
    </row>
    <row r="86" spans="1:16" s="15" customFormat="1" ht="95.25" customHeight="1">
      <c r="A86" s="327">
        <v>6</v>
      </c>
      <c r="B86" s="430" t="s">
        <v>98</v>
      </c>
      <c r="C86" s="430"/>
      <c r="D86" s="430"/>
      <c r="E86" s="430"/>
      <c r="F86" s="449"/>
      <c r="G86" s="450"/>
      <c r="H86" s="453" t="str">
        <f>$D$23</f>
        <v>GREY HEATHER</v>
      </c>
      <c r="I86" s="453" t="str">
        <f t="shared" si="0"/>
        <v>BLACK</v>
      </c>
      <c r="J86" s="183" t="s">
        <v>92</v>
      </c>
      <c r="K86" s="183">
        <f>$P$25</f>
        <v>769</v>
      </c>
      <c r="L86" s="183">
        <v>1</v>
      </c>
      <c r="M86" s="188">
        <f>K86*L86</f>
        <v>769</v>
      </c>
      <c r="N86" s="188"/>
      <c r="O86" s="185">
        <f t="shared" si="2"/>
        <v>769</v>
      </c>
      <c r="P86" s="365"/>
    </row>
    <row r="87" spans="1:16" s="15" customFormat="1" ht="32.4" hidden="1">
      <c r="A87" s="327">
        <v>6</v>
      </c>
      <c r="B87" s="430" t="s">
        <v>98</v>
      </c>
      <c r="C87" s="430"/>
      <c r="D87" s="430"/>
      <c r="E87" s="430"/>
      <c r="F87" s="437"/>
      <c r="G87" s="440"/>
      <c r="H87" s="447" t="str">
        <f>$D$28</f>
        <v>WASHED BURGUNDY</v>
      </c>
      <c r="I87" s="448" t="str">
        <f t="shared" si="0"/>
        <v>BLACK</v>
      </c>
      <c r="J87" s="183" t="s">
        <v>92</v>
      </c>
      <c r="K87" s="183">
        <f>$P$30</f>
        <v>0</v>
      </c>
      <c r="L87" s="183">
        <v>1</v>
      </c>
      <c r="M87" s="188">
        <f>K87*L87</f>
        <v>0</v>
      </c>
      <c r="N87" s="188"/>
      <c r="O87" s="185">
        <f t="shared" si="2"/>
        <v>0</v>
      </c>
      <c r="P87" s="365"/>
    </row>
    <row r="88" spans="1:16" s="15" customFormat="1" ht="32.4" hidden="1">
      <c r="A88" s="327">
        <v>6</v>
      </c>
      <c r="B88" s="430" t="s">
        <v>98</v>
      </c>
      <c r="C88" s="430"/>
      <c r="D88" s="430"/>
      <c r="E88" s="430"/>
      <c r="F88" s="438"/>
      <c r="G88" s="441"/>
      <c r="H88" s="434" t="str">
        <f>$D$33</f>
        <v>LIME</v>
      </c>
      <c r="I88" s="433" t="str">
        <f t="shared" si="0"/>
        <v>BLACK</v>
      </c>
      <c r="J88" s="183" t="s">
        <v>92</v>
      </c>
      <c r="K88" s="183">
        <f>$P$35</f>
        <v>0</v>
      </c>
      <c r="L88" s="183">
        <v>1</v>
      </c>
      <c r="M88" s="188">
        <f>K88*L88</f>
        <v>0</v>
      </c>
      <c r="N88" s="188"/>
      <c r="O88" s="185">
        <f t="shared" si="2"/>
        <v>0</v>
      </c>
      <c r="P88" s="365"/>
    </row>
    <row r="89" spans="1:16" s="26" customFormat="1" ht="33" thickBot="1">
      <c r="B89" s="91" t="s">
        <v>101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442" t="s">
        <v>74</v>
      </c>
      <c r="B90" s="443"/>
      <c r="C90" s="443"/>
      <c r="D90" s="443"/>
      <c r="E90" s="444"/>
      <c r="F90" s="84" t="s">
        <v>75</v>
      </c>
      <c r="G90" s="84" t="s">
        <v>76</v>
      </c>
      <c r="H90" s="445" t="s">
        <v>77</v>
      </c>
      <c r="I90" s="446"/>
      <c r="J90" s="85" t="s">
        <v>57</v>
      </c>
      <c r="K90" s="84" t="s">
        <v>78</v>
      </c>
      <c r="L90" s="84" t="s">
        <v>79</v>
      </c>
      <c r="M90" s="86" t="s">
        <v>80</v>
      </c>
      <c r="N90" s="86" t="s">
        <v>81</v>
      </c>
      <c r="O90" s="86" t="s">
        <v>82</v>
      </c>
      <c r="P90" s="86" t="s">
        <v>83</v>
      </c>
    </row>
    <row r="91" spans="1:16" s="34" customFormat="1" ht="32.4" hidden="1">
      <c r="A91" s="327">
        <v>1</v>
      </c>
      <c r="B91" s="429" t="s">
        <v>102</v>
      </c>
      <c r="C91" s="430"/>
      <c r="D91" s="430"/>
      <c r="E91" s="430"/>
      <c r="F91" s="436" t="s">
        <v>96</v>
      </c>
      <c r="G91" s="439" t="s">
        <v>103</v>
      </c>
      <c r="H91" s="434" t="str">
        <f>$D$18</f>
        <v>BLACK</v>
      </c>
      <c r="I91" s="433" t="str">
        <f t="shared" ref="I91:I126" si="4">$E$47</f>
        <v>BLACK</v>
      </c>
      <c r="J91" s="183" t="s">
        <v>104</v>
      </c>
      <c r="K91" s="183">
        <f>$P$20</f>
        <v>0</v>
      </c>
      <c r="L91" s="183">
        <v>2</v>
      </c>
      <c r="M91" s="183">
        <f t="shared" ref="M91:M118" si="5">K91*L91</f>
        <v>0</v>
      </c>
      <c r="N91" s="188"/>
      <c r="O91" s="185">
        <f t="shared" ref="O91:O131" si="6">ROUNDUP(N91+M91,0)</f>
        <v>0</v>
      </c>
      <c r="P91" s="367"/>
    </row>
    <row r="92" spans="1:16" s="34" customFormat="1" ht="98.25" customHeight="1">
      <c r="A92" s="327">
        <v>1</v>
      </c>
      <c r="B92" s="429" t="s">
        <v>102</v>
      </c>
      <c r="C92" s="430"/>
      <c r="D92" s="430"/>
      <c r="E92" s="430"/>
      <c r="F92" s="437"/>
      <c r="G92" s="440"/>
      <c r="H92" s="434" t="str">
        <f>$D$23</f>
        <v>GREY HEATHER</v>
      </c>
      <c r="I92" s="433" t="str">
        <f t="shared" si="4"/>
        <v>BLACK</v>
      </c>
      <c r="J92" s="183" t="s">
        <v>104</v>
      </c>
      <c r="K92" s="183">
        <f>$P$25</f>
        <v>769</v>
      </c>
      <c r="L92" s="183">
        <v>2</v>
      </c>
      <c r="M92" s="183">
        <f t="shared" si="5"/>
        <v>1538</v>
      </c>
      <c r="N92" s="188"/>
      <c r="O92" s="185">
        <f t="shared" si="6"/>
        <v>1538</v>
      </c>
      <c r="P92" s="367" t="s">
        <v>105</v>
      </c>
    </row>
    <row r="93" spans="1:16" s="34" customFormat="1" ht="32.4" hidden="1">
      <c r="A93" s="327">
        <v>1</v>
      </c>
      <c r="B93" s="429" t="s">
        <v>102</v>
      </c>
      <c r="C93" s="430"/>
      <c r="D93" s="430"/>
      <c r="E93" s="430"/>
      <c r="F93" s="437"/>
      <c r="G93" s="440"/>
      <c r="H93" s="434" t="str">
        <f>$D$28</f>
        <v>WASHED BURGUNDY</v>
      </c>
      <c r="I93" s="433" t="str">
        <f t="shared" si="4"/>
        <v>BLACK</v>
      </c>
      <c r="J93" s="183" t="s">
        <v>104</v>
      </c>
      <c r="K93" s="183">
        <f>$P$30</f>
        <v>0</v>
      </c>
      <c r="L93" s="183">
        <v>2</v>
      </c>
      <c r="M93" s="183">
        <f t="shared" si="5"/>
        <v>0</v>
      </c>
      <c r="N93" s="188"/>
      <c r="O93" s="185">
        <f t="shared" si="6"/>
        <v>0</v>
      </c>
      <c r="P93" s="367"/>
    </row>
    <row r="94" spans="1:16" s="34" customFormat="1" ht="32.4" hidden="1">
      <c r="A94" s="327">
        <v>1</v>
      </c>
      <c r="B94" s="429" t="s">
        <v>102</v>
      </c>
      <c r="C94" s="430"/>
      <c r="D94" s="430"/>
      <c r="E94" s="430"/>
      <c r="F94" s="438"/>
      <c r="G94" s="441"/>
      <c r="H94" s="434" t="str">
        <f>$D$33</f>
        <v>LIME</v>
      </c>
      <c r="I94" s="433" t="str">
        <f t="shared" si="4"/>
        <v>BLACK</v>
      </c>
      <c r="J94" s="183" t="s">
        <v>104</v>
      </c>
      <c r="K94" s="183">
        <f>$P$35</f>
        <v>0</v>
      </c>
      <c r="L94" s="183">
        <v>2</v>
      </c>
      <c r="M94" s="183">
        <f t="shared" si="5"/>
        <v>0</v>
      </c>
      <c r="N94" s="188"/>
      <c r="O94" s="185">
        <f t="shared" si="6"/>
        <v>0</v>
      </c>
      <c r="P94" s="367"/>
    </row>
    <row r="95" spans="1:16" s="34" customFormat="1" ht="32.4" hidden="1">
      <c r="A95" s="327">
        <v>2</v>
      </c>
      <c r="B95" s="403" t="s">
        <v>106</v>
      </c>
      <c r="C95" s="435"/>
      <c r="D95" s="435"/>
      <c r="E95" s="404"/>
      <c r="F95" s="436" t="s">
        <v>96</v>
      </c>
      <c r="G95" s="439" t="s">
        <v>103</v>
      </c>
      <c r="H95" s="434" t="str">
        <f>$D$18</f>
        <v>BLACK</v>
      </c>
      <c r="I95" s="433" t="str">
        <f t="shared" si="4"/>
        <v>BLACK</v>
      </c>
      <c r="J95" s="183" t="s">
        <v>104</v>
      </c>
      <c r="K95" s="183">
        <f>$P$20</f>
        <v>0</v>
      </c>
      <c r="L95" s="189">
        <f>L107*2</f>
        <v>0.08</v>
      </c>
      <c r="M95" s="183">
        <f t="shared" si="5"/>
        <v>0</v>
      </c>
      <c r="N95" s="188"/>
      <c r="O95" s="185">
        <f t="shared" si="6"/>
        <v>0</v>
      </c>
      <c r="P95" s="367"/>
    </row>
    <row r="96" spans="1:16" s="34" customFormat="1" ht="98.25" customHeight="1">
      <c r="A96" s="327">
        <v>2</v>
      </c>
      <c r="B96" s="403" t="s">
        <v>106</v>
      </c>
      <c r="C96" s="435"/>
      <c r="D96" s="435"/>
      <c r="E96" s="404"/>
      <c r="F96" s="437"/>
      <c r="G96" s="440"/>
      <c r="H96" s="434" t="str">
        <f>$D$23</f>
        <v>GREY HEATHER</v>
      </c>
      <c r="I96" s="433" t="str">
        <f t="shared" si="4"/>
        <v>BLACK</v>
      </c>
      <c r="J96" s="183" t="s">
        <v>104</v>
      </c>
      <c r="K96" s="183">
        <f>$P$25</f>
        <v>769</v>
      </c>
      <c r="L96" s="189">
        <f>L108*2</f>
        <v>0.08</v>
      </c>
      <c r="M96" s="183">
        <f t="shared" si="5"/>
        <v>61.52</v>
      </c>
      <c r="N96" s="188"/>
      <c r="O96" s="185">
        <f t="shared" si="6"/>
        <v>62</v>
      </c>
      <c r="P96" s="367" t="s">
        <v>105</v>
      </c>
    </row>
    <row r="97" spans="1:16" s="34" customFormat="1" ht="32.4" hidden="1">
      <c r="A97" s="327">
        <v>2</v>
      </c>
      <c r="B97" s="403" t="s">
        <v>106</v>
      </c>
      <c r="C97" s="435"/>
      <c r="D97" s="435"/>
      <c r="E97" s="404"/>
      <c r="F97" s="437"/>
      <c r="G97" s="440"/>
      <c r="H97" s="434" t="str">
        <f>$D$28</f>
        <v>WASHED BURGUNDY</v>
      </c>
      <c r="I97" s="433" t="str">
        <f t="shared" si="4"/>
        <v>BLACK</v>
      </c>
      <c r="J97" s="183" t="s">
        <v>104</v>
      </c>
      <c r="K97" s="183">
        <f>$P$30</f>
        <v>0</v>
      </c>
      <c r="L97" s="189">
        <f>L109*2</f>
        <v>0.08</v>
      </c>
      <c r="M97" s="183">
        <f t="shared" si="5"/>
        <v>0</v>
      </c>
      <c r="N97" s="188"/>
      <c r="O97" s="185">
        <f t="shared" si="6"/>
        <v>0</v>
      </c>
      <c r="P97" s="367"/>
    </row>
    <row r="98" spans="1:16" s="34" customFormat="1" ht="32.4" hidden="1">
      <c r="A98" s="327">
        <v>2</v>
      </c>
      <c r="B98" s="403" t="s">
        <v>106</v>
      </c>
      <c r="C98" s="435"/>
      <c r="D98" s="435"/>
      <c r="E98" s="404"/>
      <c r="F98" s="438"/>
      <c r="G98" s="441"/>
      <c r="H98" s="434" t="str">
        <f>$D$33</f>
        <v>LIME</v>
      </c>
      <c r="I98" s="433" t="str">
        <f t="shared" si="4"/>
        <v>BLACK</v>
      </c>
      <c r="J98" s="183" t="s">
        <v>104</v>
      </c>
      <c r="K98" s="183">
        <f>$P$35</f>
        <v>0</v>
      </c>
      <c r="L98" s="189">
        <f>L110*2</f>
        <v>0.08</v>
      </c>
      <c r="M98" s="183">
        <f t="shared" si="5"/>
        <v>0</v>
      </c>
      <c r="N98" s="188"/>
      <c r="O98" s="185">
        <f t="shared" si="6"/>
        <v>0</v>
      </c>
      <c r="P98" s="367"/>
    </row>
    <row r="99" spans="1:16" s="34" customFormat="1" ht="32.4" hidden="1">
      <c r="A99" s="327">
        <v>3</v>
      </c>
      <c r="B99" s="403" t="s">
        <v>107</v>
      </c>
      <c r="C99" s="435"/>
      <c r="D99" s="435"/>
      <c r="E99" s="404"/>
      <c r="F99" s="436" t="s">
        <v>108</v>
      </c>
      <c r="G99" s="439" t="s">
        <v>109</v>
      </c>
      <c r="H99" s="434" t="str">
        <f>$D$18</f>
        <v>BLACK</v>
      </c>
      <c r="I99" s="433" t="str">
        <f t="shared" si="4"/>
        <v>BLACK</v>
      </c>
      <c r="J99" s="183" t="s">
        <v>104</v>
      </c>
      <c r="K99" s="183">
        <f>$P$20</f>
        <v>0</v>
      </c>
      <c r="L99" s="183">
        <v>1</v>
      </c>
      <c r="M99" s="183">
        <f t="shared" si="5"/>
        <v>0</v>
      </c>
      <c r="N99" s="188"/>
      <c r="O99" s="185">
        <f t="shared" si="6"/>
        <v>0</v>
      </c>
      <c r="P99" s="367"/>
    </row>
    <row r="100" spans="1:16" s="34" customFormat="1" ht="98.25" customHeight="1">
      <c r="A100" s="327">
        <v>3</v>
      </c>
      <c r="B100" s="403" t="s">
        <v>107</v>
      </c>
      <c r="C100" s="435"/>
      <c r="D100" s="435"/>
      <c r="E100" s="404"/>
      <c r="F100" s="437"/>
      <c r="G100" s="440"/>
      <c r="H100" s="434" t="str">
        <f>$D$23</f>
        <v>GREY HEATHER</v>
      </c>
      <c r="I100" s="433" t="str">
        <f t="shared" si="4"/>
        <v>BLACK</v>
      </c>
      <c r="J100" s="183" t="s">
        <v>104</v>
      </c>
      <c r="K100" s="183">
        <f>$P$25</f>
        <v>769</v>
      </c>
      <c r="L100" s="183">
        <v>1</v>
      </c>
      <c r="M100" s="183">
        <f t="shared" si="5"/>
        <v>769</v>
      </c>
      <c r="N100" s="188"/>
      <c r="O100" s="185">
        <f t="shared" si="6"/>
        <v>769</v>
      </c>
      <c r="P100" s="367"/>
    </row>
    <row r="101" spans="1:16" s="34" customFormat="1" ht="32.4" hidden="1">
      <c r="A101" s="327">
        <v>3</v>
      </c>
      <c r="B101" s="403" t="s">
        <v>107</v>
      </c>
      <c r="C101" s="435"/>
      <c r="D101" s="435"/>
      <c r="E101" s="404"/>
      <c r="F101" s="437"/>
      <c r="G101" s="440"/>
      <c r="H101" s="434" t="str">
        <f>$D$28</f>
        <v>WASHED BURGUNDY</v>
      </c>
      <c r="I101" s="433" t="str">
        <f t="shared" si="4"/>
        <v>BLACK</v>
      </c>
      <c r="J101" s="183" t="s">
        <v>104</v>
      </c>
      <c r="K101" s="183">
        <f>$P$30</f>
        <v>0</v>
      </c>
      <c r="L101" s="183">
        <v>1</v>
      </c>
      <c r="M101" s="183">
        <f t="shared" si="5"/>
        <v>0</v>
      </c>
      <c r="N101" s="188"/>
      <c r="O101" s="185">
        <f t="shared" si="6"/>
        <v>0</v>
      </c>
      <c r="P101" s="367"/>
    </row>
    <row r="102" spans="1:16" s="34" customFormat="1" ht="32.4" hidden="1">
      <c r="A102" s="327">
        <v>3</v>
      </c>
      <c r="B102" s="403" t="s">
        <v>107</v>
      </c>
      <c r="C102" s="435"/>
      <c r="D102" s="435"/>
      <c r="E102" s="404"/>
      <c r="F102" s="438"/>
      <c r="G102" s="441"/>
      <c r="H102" s="434" t="str">
        <f>$D$33</f>
        <v>LIME</v>
      </c>
      <c r="I102" s="433" t="str">
        <f t="shared" si="4"/>
        <v>BLACK</v>
      </c>
      <c r="J102" s="183" t="s">
        <v>104</v>
      </c>
      <c r="K102" s="183">
        <f>$P$35</f>
        <v>0</v>
      </c>
      <c r="L102" s="183">
        <v>1</v>
      </c>
      <c r="M102" s="183">
        <f t="shared" si="5"/>
        <v>0</v>
      </c>
      <c r="N102" s="188"/>
      <c r="O102" s="185">
        <f t="shared" si="6"/>
        <v>0</v>
      </c>
      <c r="P102" s="367"/>
    </row>
    <row r="103" spans="1:16" s="34" customFormat="1" ht="32.4" hidden="1">
      <c r="A103" s="327">
        <v>4</v>
      </c>
      <c r="B103" s="403" t="s">
        <v>110</v>
      </c>
      <c r="C103" s="435"/>
      <c r="D103" s="435"/>
      <c r="E103" s="404"/>
      <c r="F103" s="181" t="s">
        <v>111</v>
      </c>
      <c r="G103" s="181"/>
      <c r="H103" s="434" t="str">
        <f>$D$18</f>
        <v>BLACK</v>
      </c>
      <c r="I103" s="433" t="str">
        <f t="shared" si="4"/>
        <v>BLACK</v>
      </c>
      <c r="J103" s="183" t="s">
        <v>104</v>
      </c>
      <c r="K103" s="183">
        <f>$P$20</f>
        <v>0</v>
      </c>
      <c r="L103" s="183">
        <v>1</v>
      </c>
      <c r="M103" s="183">
        <f t="shared" si="5"/>
        <v>0</v>
      </c>
      <c r="N103" s="188"/>
      <c r="O103" s="185">
        <f t="shared" si="6"/>
        <v>0</v>
      </c>
      <c r="P103" s="367"/>
    </row>
    <row r="104" spans="1:16" s="34" customFormat="1" ht="63.75" customHeight="1">
      <c r="A104" s="327">
        <v>4</v>
      </c>
      <c r="B104" s="403" t="s">
        <v>110</v>
      </c>
      <c r="C104" s="435"/>
      <c r="D104" s="435"/>
      <c r="E104" s="404"/>
      <c r="F104" s="181" t="s">
        <v>111</v>
      </c>
      <c r="G104" s="181"/>
      <c r="H104" s="434" t="str">
        <f>$D$23</f>
        <v>GREY HEATHER</v>
      </c>
      <c r="I104" s="433" t="str">
        <f t="shared" si="4"/>
        <v>BLACK</v>
      </c>
      <c r="J104" s="183" t="s">
        <v>104</v>
      </c>
      <c r="K104" s="183">
        <f>$P$25</f>
        <v>769</v>
      </c>
      <c r="L104" s="183">
        <v>1</v>
      </c>
      <c r="M104" s="183">
        <f t="shared" si="5"/>
        <v>769</v>
      </c>
      <c r="N104" s="188"/>
      <c r="O104" s="185">
        <f t="shared" si="6"/>
        <v>769</v>
      </c>
      <c r="P104" s="367"/>
    </row>
    <row r="105" spans="1:16" s="34" customFormat="1" ht="32.4" hidden="1">
      <c r="A105" s="327">
        <v>4</v>
      </c>
      <c r="B105" s="403" t="s">
        <v>110</v>
      </c>
      <c r="C105" s="435"/>
      <c r="D105" s="435"/>
      <c r="E105" s="404"/>
      <c r="F105" s="181" t="s">
        <v>111</v>
      </c>
      <c r="G105" s="181"/>
      <c r="H105" s="434" t="str">
        <f>$D$28</f>
        <v>WASHED BURGUNDY</v>
      </c>
      <c r="I105" s="433" t="str">
        <f t="shared" si="4"/>
        <v>BLACK</v>
      </c>
      <c r="J105" s="183" t="s">
        <v>104</v>
      </c>
      <c r="K105" s="183">
        <f>$P$30</f>
        <v>0</v>
      </c>
      <c r="L105" s="183">
        <v>1</v>
      </c>
      <c r="M105" s="183">
        <f t="shared" si="5"/>
        <v>0</v>
      </c>
      <c r="N105" s="188"/>
      <c r="O105" s="185">
        <f t="shared" si="6"/>
        <v>0</v>
      </c>
      <c r="P105" s="367"/>
    </row>
    <row r="106" spans="1:16" s="34" customFormat="1" ht="32.4" hidden="1">
      <c r="A106" s="327">
        <v>4</v>
      </c>
      <c r="B106" s="403" t="s">
        <v>110</v>
      </c>
      <c r="C106" s="435"/>
      <c r="D106" s="435"/>
      <c r="E106" s="404"/>
      <c r="F106" s="181" t="s">
        <v>111</v>
      </c>
      <c r="G106" s="181"/>
      <c r="H106" s="434" t="str">
        <f>$D$33</f>
        <v>LIME</v>
      </c>
      <c r="I106" s="433" t="str">
        <f t="shared" si="4"/>
        <v>BLACK</v>
      </c>
      <c r="J106" s="183" t="s">
        <v>104</v>
      </c>
      <c r="K106" s="183">
        <f>$P$35</f>
        <v>0</v>
      </c>
      <c r="L106" s="183">
        <v>1</v>
      </c>
      <c r="M106" s="183">
        <f t="shared" si="5"/>
        <v>0</v>
      </c>
      <c r="N106" s="188"/>
      <c r="O106" s="185">
        <f t="shared" si="6"/>
        <v>0</v>
      </c>
      <c r="P106" s="367"/>
    </row>
    <row r="107" spans="1:16" s="34" customFormat="1" ht="32.4" hidden="1">
      <c r="A107" s="327">
        <v>5</v>
      </c>
      <c r="B107" s="429" t="s">
        <v>112</v>
      </c>
      <c r="C107" s="430"/>
      <c r="D107" s="430"/>
      <c r="E107" s="430"/>
      <c r="F107" s="181" t="s">
        <v>113</v>
      </c>
      <c r="G107" s="181"/>
      <c r="H107" s="434" t="str">
        <f>$D$18</f>
        <v>BLACK</v>
      </c>
      <c r="I107" s="433" t="str">
        <f t="shared" si="4"/>
        <v>BLACK</v>
      </c>
      <c r="J107" s="183" t="s">
        <v>104</v>
      </c>
      <c r="K107" s="183">
        <f>$P$20</f>
        <v>0</v>
      </c>
      <c r="L107" s="189">
        <f>1/25</f>
        <v>0.04</v>
      </c>
      <c r="M107" s="183">
        <f t="shared" si="5"/>
        <v>0</v>
      </c>
      <c r="N107" s="188"/>
      <c r="O107" s="185">
        <f t="shared" si="6"/>
        <v>0</v>
      </c>
      <c r="P107" s="367"/>
    </row>
    <row r="108" spans="1:16" s="34" customFormat="1" ht="63.75" customHeight="1">
      <c r="A108" s="327">
        <v>5</v>
      </c>
      <c r="B108" s="429" t="s">
        <v>112</v>
      </c>
      <c r="C108" s="430"/>
      <c r="D108" s="430"/>
      <c r="E108" s="430"/>
      <c r="F108" s="181" t="s">
        <v>113</v>
      </c>
      <c r="G108" s="181"/>
      <c r="H108" s="434" t="str">
        <f>$D$23</f>
        <v>GREY HEATHER</v>
      </c>
      <c r="I108" s="433" t="str">
        <f t="shared" si="4"/>
        <v>BLACK</v>
      </c>
      <c r="J108" s="183" t="s">
        <v>104</v>
      </c>
      <c r="K108" s="183">
        <f>$P$25</f>
        <v>769</v>
      </c>
      <c r="L108" s="189">
        <f>1/25</f>
        <v>0.04</v>
      </c>
      <c r="M108" s="183">
        <f t="shared" si="5"/>
        <v>30.76</v>
      </c>
      <c r="N108" s="188"/>
      <c r="O108" s="185">
        <f t="shared" si="6"/>
        <v>31</v>
      </c>
      <c r="P108" s="367"/>
    </row>
    <row r="109" spans="1:16" s="34" customFormat="1" ht="32.4" hidden="1">
      <c r="A109" s="327">
        <v>5</v>
      </c>
      <c r="B109" s="429" t="s">
        <v>112</v>
      </c>
      <c r="C109" s="430"/>
      <c r="D109" s="430"/>
      <c r="E109" s="430"/>
      <c r="F109" s="181" t="s">
        <v>113</v>
      </c>
      <c r="G109" s="181"/>
      <c r="H109" s="434" t="str">
        <f>$D$28</f>
        <v>WASHED BURGUNDY</v>
      </c>
      <c r="I109" s="433" t="str">
        <f t="shared" si="4"/>
        <v>BLACK</v>
      </c>
      <c r="J109" s="183" t="s">
        <v>104</v>
      </c>
      <c r="K109" s="183">
        <f>$P$30</f>
        <v>0</v>
      </c>
      <c r="L109" s="189">
        <f>1/25</f>
        <v>0.04</v>
      </c>
      <c r="M109" s="183">
        <f t="shared" si="5"/>
        <v>0</v>
      </c>
      <c r="N109" s="188"/>
      <c r="O109" s="185">
        <f t="shared" si="6"/>
        <v>0</v>
      </c>
      <c r="P109" s="367"/>
    </row>
    <row r="110" spans="1:16" s="34" customFormat="1" ht="32.4" hidden="1">
      <c r="A110" s="327">
        <v>5</v>
      </c>
      <c r="B110" s="429" t="s">
        <v>112</v>
      </c>
      <c r="C110" s="430"/>
      <c r="D110" s="430"/>
      <c r="E110" s="430"/>
      <c r="F110" s="181" t="s">
        <v>113</v>
      </c>
      <c r="G110" s="181"/>
      <c r="H110" s="434" t="str">
        <f>$D$33</f>
        <v>LIME</v>
      </c>
      <c r="I110" s="433" t="str">
        <f t="shared" si="4"/>
        <v>BLACK</v>
      </c>
      <c r="J110" s="183" t="s">
        <v>104</v>
      </c>
      <c r="K110" s="183">
        <f>$P$35</f>
        <v>0</v>
      </c>
      <c r="L110" s="189">
        <f>1/25</f>
        <v>0.04</v>
      </c>
      <c r="M110" s="183">
        <f t="shared" si="5"/>
        <v>0</v>
      </c>
      <c r="N110" s="188"/>
      <c r="O110" s="185">
        <f t="shared" si="6"/>
        <v>0</v>
      </c>
      <c r="P110" s="367"/>
    </row>
    <row r="111" spans="1:16" s="34" customFormat="1" ht="32.4" hidden="1">
      <c r="A111" s="327">
        <v>6</v>
      </c>
      <c r="B111" s="429" t="s">
        <v>114</v>
      </c>
      <c r="C111" s="430"/>
      <c r="D111" s="430"/>
      <c r="E111" s="430"/>
      <c r="F111" s="181" t="s">
        <v>113</v>
      </c>
      <c r="G111" s="181"/>
      <c r="H111" s="434" t="str">
        <f>$D$18</f>
        <v>BLACK</v>
      </c>
      <c r="I111" s="433" t="str">
        <f t="shared" si="4"/>
        <v>BLACK</v>
      </c>
      <c r="J111" s="183" t="s">
        <v>104</v>
      </c>
      <c r="K111" s="183">
        <f>$P$20</f>
        <v>0</v>
      </c>
      <c r="L111" s="189">
        <f>L107*2</f>
        <v>0.08</v>
      </c>
      <c r="M111" s="183">
        <f t="shared" si="5"/>
        <v>0</v>
      </c>
      <c r="N111" s="188"/>
      <c r="O111" s="185">
        <f t="shared" si="6"/>
        <v>0</v>
      </c>
      <c r="P111" s="367"/>
    </row>
    <row r="112" spans="1:16" s="34" customFormat="1" ht="63.75" customHeight="1">
      <c r="A112" s="327">
        <v>6</v>
      </c>
      <c r="B112" s="429" t="s">
        <v>114</v>
      </c>
      <c r="C112" s="430"/>
      <c r="D112" s="430"/>
      <c r="E112" s="430"/>
      <c r="F112" s="181" t="s">
        <v>113</v>
      </c>
      <c r="G112" s="181"/>
      <c r="H112" s="434" t="str">
        <f>$D$23</f>
        <v>GREY HEATHER</v>
      </c>
      <c r="I112" s="433" t="str">
        <f t="shared" si="4"/>
        <v>BLACK</v>
      </c>
      <c r="J112" s="183" t="s">
        <v>104</v>
      </c>
      <c r="K112" s="183">
        <f>$P$25</f>
        <v>769</v>
      </c>
      <c r="L112" s="189">
        <f>L108*2</f>
        <v>0.08</v>
      </c>
      <c r="M112" s="183">
        <f t="shared" si="5"/>
        <v>61.52</v>
      </c>
      <c r="N112" s="188"/>
      <c r="O112" s="185">
        <f t="shared" si="6"/>
        <v>62</v>
      </c>
      <c r="P112" s="367"/>
    </row>
    <row r="113" spans="1:16" s="34" customFormat="1" ht="32.4" hidden="1">
      <c r="A113" s="327">
        <v>6</v>
      </c>
      <c r="B113" s="429" t="s">
        <v>114</v>
      </c>
      <c r="C113" s="430"/>
      <c r="D113" s="430"/>
      <c r="E113" s="430"/>
      <c r="F113" s="181" t="s">
        <v>113</v>
      </c>
      <c r="G113" s="181"/>
      <c r="H113" s="434" t="str">
        <f>$D$28</f>
        <v>WASHED BURGUNDY</v>
      </c>
      <c r="I113" s="433" t="str">
        <f t="shared" si="4"/>
        <v>BLACK</v>
      </c>
      <c r="J113" s="183" t="s">
        <v>104</v>
      </c>
      <c r="K113" s="183">
        <f>$P$30</f>
        <v>0</v>
      </c>
      <c r="L113" s="189">
        <f>L109*2</f>
        <v>0.08</v>
      </c>
      <c r="M113" s="183">
        <f t="shared" si="5"/>
        <v>0</v>
      </c>
      <c r="N113" s="188"/>
      <c r="O113" s="185">
        <f t="shared" si="6"/>
        <v>0</v>
      </c>
      <c r="P113" s="367"/>
    </row>
    <row r="114" spans="1:16" s="34" customFormat="1" ht="32.4" hidden="1">
      <c r="A114" s="327">
        <v>6</v>
      </c>
      <c r="B114" s="429" t="s">
        <v>114</v>
      </c>
      <c r="C114" s="430"/>
      <c r="D114" s="430"/>
      <c r="E114" s="430"/>
      <c r="F114" s="181" t="s">
        <v>113</v>
      </c>
      <c r="G114" s="181"/>
      <c r="H114" s="434" t="str">
        <f>$D$33</f>
        <v>LIME</v>
      </c>
      <c r="I114" s="433" t="str">
        <f t="shared" si="4"/>
        <v>BLACK</v>
      </c>
      <c r="J114" s="183" t="s">
        <v>104</v>
      </c>
      <c r="K114" s="183">
        <f>$P$35</f>
        <v>0</v>
      </c>
      <c r="L114" s="189">
        <f>L110*2</f>
        <v>0.08</v>
      </c>
      <c r="M114" s="183">
        <f t="shared" si="5"/>
        <v>0</v>
      </c>
      <c r="N114" s="188"/>
      <c r="O114" s="185">
        <f t="shared" si="6"/>
        <v>0</v>
      </c>
      <c r="P114" s="367"/>
    </row>
    <row r="115" spans="1:16" s="34" customFormat="1" ht="32.4" hidden="1">
      <c r="A115" s="327">
        <v>7</v>
      </c>
      <c r="B115" s="429" t="s">
        <v>115</v>
      </c>
      <c r="C115" s="430"/>
      <c r="D115" s="430"/>
      <c r="E115" s="430"/>
      <c r="F115" s="181" t="s">
        <v>111</v>
      </c>
      <c r="G115" s="181"/>
      <c r="H115" s="434" t="str">
        <f>$D$18</f>
        <v>BLACK</v>
      </c>
      <c r="I115" s="433" t="str">
        <f t="shared" si="4"/>
        <v>BLACK</v>
      </c>
      <c r="J115" s="183" t="s">
        <v>104</v>
      </c>
      <c r="K115" s="183">
        <f>$P$20</f>
        <v>0</v>
      </c>
      <c r="L115" s="189">
        <f>L107</f>
        <v>0.04</v>
      </c>
      <c r="M115" s="183">
        <f t="shared" si="5"/>
        <v>0</v>
      </c>
      <c r="N115" s="188"/>
      <c r="O115" s="185">
        <f t="shared" si="6"/>
        <v>0</v>
      </c>
      <c r="P115" s="367"/>
    </row>
    <row r="116" spans="1:16" s="34" customFormat="1" ht="63.75" customHeight="1">
      <c r="A116" s="327">
        <v>7</v>
      </c>
      <c r="B116" s="429" t="s">
        <v>115</v>
      </c>
      <c r="C116" s="430"/>
      <c r="D116" s="430"/>
      <c r="E116" s="430"/>
      <c r="F116" s="181" t="s">
        <v>111</v>
      </c>
      <c r="G116" s="181"/>
      <c r="H116" s="434" t="str">
        <f>$D$23</f>
        <v>GREY HEATHER</v>
      </c>
      <c r="I116" s="433" t="str">
        <f t="shared" si="4"/>
        <v>BLACK</v>
      </c>
      <c r="J116" s="183" t="s">
        <v>104</v>
      </c>
      <c r="K116" s="183">
        <f>$P$25</f>
        <v>769</v>
      </c>
      <c r="L116" s="189">
        <f>L108</f>
        <v>0.04</v>
      </c>
      <c r="M116" s="183">
        <f t="shared" si="5"/>
        <v>30.76</v>
      </c>
      <c r="N116" s="188"/>
      <c r="O116" s="185">
        <f t="shared" si="6"/>
        <v>31</v>
      </c>
      <c r="P116" s="367"/>
    </row>
    <row r="117" spans="1:16" s="34" customFormat="1" ht="32.4" hidden="1">
      <c r="A117" s="327">
        <v>7</v>
      </c>
      <c r="B117" s="429" t="s">
        <v>115</v>
      </c>
      <c r="C117" s="430"/>
      <c r="D117" s="430"/>
      <c r="E117" s="430"/>
      <c r="F117" s="181" t="s">
        <v>111</v>
      </c>
      <c r="G117" s="181"/>
      <c r="H117" s="434" t="str">
        <f>$D$28</f>
        <v>WASHED BURGUNDY</v>
      </c>
      <c r="I117" s="433" t="str">
        <f t="shared" si="4"/>
        <v>BLACK</v>
      </c>
      <c r="J117" s="183" t="s">
        <v>104</v>
      </c>
      <c r="K117" s="183">
        <f>$P$30</f>
        <v>0</v>
      </c>
      <c r="L117" s="189">
        <f>L109</f>
        <v>0.04</v>
      </c>
      <c r="M117" s="183">
        <f t="shared" si="5"/>
        <v>0</v>
      </c>
      <c r="N117" s="188"/>
      <c r="O117" s="185">
        <f t="shared" si="6"/>
        <v>0</v>
      </c>
      <c r="P117" s="367"/>
    </row>
    <row r="118" spans="1:16" s="34" customFormat="1" ht="32.4" hidden="1">
      <c r="A118" s="327">
        <v>7</v>
      </c>
      <c r="B118" s="429" t="s">
        <v>115</v>
      </c>
      <c r="C118" s="430"/>
      <c r="D118" s="430"/>
      <c r="E118" s="430"/>
      <c r="F118" s="181" t="s">
        <v>111</v>
      </c>
      <c r="G118" s="181"/>
      <c r="H118" s="434" t="str">
        <f>$D$33</f>
        <v>LIME</v>
      </c>
      <c r="I118" s="433" t="str">
        <f t="shared" si="4"/>
        <v>BLACK</v>
      </c>
      <c r="J118" s="183" t="s">
        <v>104</v>
      </c>
      <c r="K118" s="183">
        <f>$P$35</f>
        <v>0</v>
      </c>
      <c r="L118" s="189">
        <f>L110</f>
        <v>0.04</v>
      </c>
      <c r="M118" s="183">
        <f t="shared" si="5"/>
        <v>0</v>
      </c>
      <c r="N118" s="188"/>
      <c r="O118" s="185">
        <f t="shared" si="6"/>
        <v>0</v>
      </c>
      <c r="P118" s="367"/>
    </row>
    <row r="119" spans="1:16" s="34" customFormat="1" ht="32.4" hidden="1">
      <c r="A119" s="327">
        <v>8</v>
      </c>
      <c r="B119" s="403" t="s">
        <v>116</v>
      </c>
      <c r="C119" s="435"/>
      <c r="D119" s="435"/>
      <c r="E119" s="404"/>
      <c r="F119" s="181" t="s">
        <v>117</v>
      </c>
      <c r="G119" s="181"/>
      <c r="H119" s="434" t="str">
        <f>$D$18</f>
        <v>BLACK</v>
      </c>
      <c r="I119" s="433" t="str">
        <f t="shared" si="4"/>
        <v>BLACK</v>
      </c>
      <c r="J119" s="183" t="s">
        <v>104</v>
      </c>
      <c r="K119" s="183">
        <f>$P$20</f>
        <v>0</v>
      </c>
      <c r="L119" s="183">
        <v>1</v>
      </c>
      <c r="M119" s="183">
        <f>K119*L119</f>
        <v>0</v>
      </c>
      <c r="N119" s="188"/>
      <c r="O119" s="185">
        <f t="shared" si="6"/>
        <v>0</v>
      </c>
      <c r="P119" s="367"/>
    </row>
    <row r="120" spans="1:16" s="34" customFormat="1" ht="63.75" customHeight="1">
      <c r="A120" s="327">
        <v>8</v>
      </c>
      <c r="B120" s="429" t="s">
        <v>116</v>
      </c>
      <c r="C120" s="430"/>
      <c r="D120" s="430"/>
      <c r="E120" s="430"/>
      <c r="F120" s="181" t="s">
        <v>117</v>
      </c>
      <c r="G120" s="181"/>
      <c r="H120" s="434" t="str">
        <f>$D$23</f>
        <v>GREY HEATHER</v>
      </c>
      <c r="I120" s="433" t="str">
        <f t="shared" si="4"/>
        <v>BLACK</v>
      </c>
      <c r="J120" s="183" t="s">
        <v>104</v>
      </c>
      <c r="K120" s="183">
        <f>$P$25</f>
        <v>769</v>
      </c>
      <c r="L120" s="183">
        <v>1</v>
      </c>
      <c r="M120" s="183">
        <f t="shared" ref="M120:M131" si="7">K120*L120</f>
        <v>769</v>
      </c>
      <c r="N120" s="188"/>
      <c r="O120" s="185">
        <f t="shared" si="6"/>
        <v>769</v>
      </c>
      <c r="P120" s="367"/>
    </row>
    <row r="121" spans="1:16" s="34" customFormat="1" ht="32.4" hidden="1">
      <c r="A121" s="327">
        <v>8</v>
      </c>
      <c r="B121" s="429" t="s">
        <v>116</v>
      </c>
      <c r="C121" s="430"/>
      <c r="D121" s="430"/>
      <c r="E121" s="430"/>
      <c r="F121" s="181" t="s">
        <v>117</v>
      </c>
      <c r="G121" s="181"/>
      <c r="H121" s="434" t="str">
        <f>$D$28</f>
        <v>WASHED BURGUNDY</v>
      </c>
      <c r="I121" s="433" t="str">
        <f t="shared" si="4"/>
        <v>BLACK</v>
      </c>
      <c r="J121" s="183" t="s">
        <v>104</v>
      </c>
      <c r="K121" s="183">
        <f>$P$30</f>
        <v>0</v>
      </c>
      <c r="L121" s="183">
        <v>1</v>
      </c>
      <c r="M121" s="183">
        <f t="shared" si="7"/>
        <v>0</v>
      </c>
      <c r="N121" s="188"/>
      <c r="O121" s="185">
        <f t="shared" si="6"/>
        <v>0</v>
      </c>
      <c r="P121" s="367"/>
    </row>
    <row r="122" spans="1:16" s="34" customFormat="1" ht="32.4" hidden="1">
      <c r="A122" s="327">
        <v>8</v>
      </c>
      <c r="B122" s="429" t="s">
        <v>116</v>
      </c>
      <c r="C122" s="430"/>
      <c r="D122" s="430"/>
      <c r="E122" s="430"/>
      <c r="F122" s="181" t="s">
        <v>117</v>
      </c>
      <c r="G122" s="181"/>
      <c r="H122" s="434" t="str">
        <f>$D$33</f>
        <v>LIME</v>
      </c>
      <c r="I122" s="433" t="str">
        <f t="shared" si="4"/>
        <v>BLACK</v>
      </c>
      <c r="J122" s="183" t="s">
        <v>104</v>
      </c>
      <c r="K122" s="183">
        <f>$P$35</f>
        <v>0</v>
      </c>
      <c r="L122" s="183">
        <v>1</v>
      </c>
      <c r="M122" s="183">
        <f t="shared" si="7"/>
        <v>0</v>
      </c>
      <c r="N122" s="188"/>
      <c r="O122" s="185">
        <f t="shared" si="6"/>
        <v>0</v>
      </c>
      <c r="P122" s="367"/>
    </row>
    <row r="123" spans="1:16" s="34" customFormat="1" ht="32.4" hidden="1">
      <c r="A123" s="327">
        <v>9</v>
      </c>
      <c r="B123" s="429" t="s">
        <v>118</v>
      </c>
      <c r="C123" s="430"/>
      <c r="D123" s="430"/>
      <c r="E123" s="430"/>
      <c r="F123" s="181" t="s">
        <v>111</v>
      </c>
      <c r="G123" s="181"/>
      <c r="H123" s="434" t="str">
        <f>$D$18</f>
        <v>BLACK</v>
      </c>
      <c r="I123" s="433" t="str">
        <f t="shared" si="4"/>
        <v>BLACK</v>
      </c>
      <c r="J123" s="183" t="s">
        <v>104</v>
      </c>
      <c r="K123" s="183">
        <f>$P$20</f>
        <v>0</v>
      </c>
      <c r="L123" s="183">
        <v>1.1000000000000001</v>
      </c>
      <c r="M123" s="183">
        <f t="shared" si="7"/>
        <v>0</v>
      </c>
      <c r="N123" s="188"/>
      <c r="O123" s="185">
        <f t="shared" si="6"/>
        <v>0</v>
      </c>
      <c r="P123" s="367"/>
    </row>
    <row r="124" spans="1:16" s="34" customFormat="1" ht="63.75" customHeight="1">
      <c r="A124" s="327">
        <v>9</v>
      </c>
      <c r="B124" s="403" t="s">
        <v>118</v>
      </c>
      <c r="C124" s="435"/>
      <c r="D124" s="435"/>
      <c r="E124" s="404"/>
      <c r="F124" s="181" t="s">
        <v>111</v>
      </c>
      <c r="G124" s="181"/>
      <c r="H124" s="434" t="str">
        <f>$D$23</f>
        <v>GREY HEATHER</v>
      </c>
      <c r="I124" s="433" t="str">
        <f t="shared" si="4"/>
        <v>BLACK</v>
      </c>
      <c r="J124" s="183" t="s">
        <v>104</v>
      </c>
      <c r="K124" s="183">
        <f>$P$25</f>
        <v>769</v>
      </c>
      <c r="L124" s="183">
        <v>1.1000000000000001</v>
      </c>
      <c r="M124" s="183">
        <f t="shared" si="7"/>
        <v>845.90000000000009</v>
      </c>
      <c r="N124" s="188"/>
      <c r="O124" s="185">
        <f t="shared" si="6"/>
        <v>846</v>
      </c>
      <c r="P124" s="367"/>
    </row>
    <row r="125" spans="1:16" s="34" customFormat="1" ht="32.4" hidden="1">
      <c r="A125" s="327">
        <v>9</v>
      </c>
      <c r="B125" s="403" t="s">
        <v>118</v>
      </c>
      <c r="C125" s="435"/>
      <c r="D125" s="435"/>
      <c r="E125" s="404"/>
      <c r="F125" s="181" t="s">
        <v>111</v>
      </c>
      <c r="G125" s="181"/>
      <c r="H125" s="434" t="str">
        <f>$D$28</f>
        <v>WASHED BURGUNDY</v>
      </c>
      <c r="I125" s="433" t="str">
        <f t="shared" si="4"/>
        <v>BLACK</v>
      </c>
      <c r="J125" s="183" t="s">
        <v>104</v>
      </c>
      <c r="K125" s="183">
        <f>$P$30</f>
        <v>0</v>
      </c>
      <c r="L125" s="183">
        <v>1.1000000000000001</v>
      </c>
      <c r="M125" s="183">
        <f t="shared" si="7"/>
        <v>0</v>
      </c>
      <c r="N125" s="188"/>
      <c r="O125" s="185">
        <f t="shared" si="6"/>
        <v>0</v>
      </c>
      <c r="P125" s="367"/>
    </row>
    <row r="126" spans="1:16" s="34" customFormat="1" ht="32.4" hidden="1">
      <c r="A126" s="327">
        <v>9</v>
      </c>
      <c r="B126" s="403" t="s">
        <v>118</v>
      </c>
      <c r="C126" s="435"/>
      <c r="D126" s="435"/>
      <c r="E126" s="404"/>
      <c r="F126" s="181" t="s">
        <v>111</v>
      </c>
      <c r="G126" s="181"/>
      <c r="H126" s="434" t="str">
        <f>$D$33</f>
        <v>LIME</v>
      </c>
      <c r="I126" s="433" t="str">
        <f t="shared" si="4"/>
        <v>BLACK</v>
      </c>
      <c r="J126" s="183" t="s">
        <v>104</v>
      </c>
      <c r="K126" s="183">
        <f>$P$35</f>
        <v>0</v>
      </c>
      <c r="L126" s="183">
        <v>1.1000000000000001</v>
      </c>
      <c r="M126" s="183">
        <f t="shared" si="7"/>
        <v>0</v>
      </c>
      <c r="N126" s="188"/>
      <c r="O126" s="185">
        <f t="shared" si="6"/>
        <v>0</v>
      </c>
      <c r="P126" s="367"/>
    </row>
    <row r="127" spans="1:16" s="34" customFormat="1" ht="46.5" customHeight="1">
      <c r="A127" s="327">
        <v>10</v>
      </c>
      <c r="B127" s="429" t="s">
        <v>119</v>
      </c>
      <c r="C127" s="430"/>
      <c r="D127" s="430"/>
      <c r="E127" s="430"/>
      <c r="F127" s="431" t="s">
        <v>120</v>
      </c>
      <c r="G127" s="181"/>
      <c r="H127" s="432" t="s">
        <v>121</v>
      </c>
      <c r="I127" s="433"/>
      <c r="J127" s="183" t="s">
        <v>104</v>
      </c>
      <c r="K127" s="183">
        <v>9</v>
      </c>
      <c r="L127" s="189">
        <f>$L$107*2</f>
        <v>0.08</v>
      </c>
      <c r="M127" s="183">
        <f t="shared" si="7"/>
        <v>0.72</v>
      </c>
      <c r="N127" s="188"/>
      <c r="O127" s="185">
        <f t="shared" si="6"/>
        <v>1</v>
      </c>
      <c r="P127" s="367"/>
    </row>
    <row r="128" spans="1:16" s="34" customFormat="1" ht="46.5" customHeight="1">
      <c r="A128" s="327">
        <v>10</v>
      </c>
      <c r="B128" s="429" t="s">
        <v>119</v>
      </c>
      <c r="C128" s="430"/>
      <c r="D128" s="430"/>
      <c r="E128" s="430"/>
      <c r="F128" s="431"/>
      <c r="G128" s="181"/>
      <c r="H128" s="432" t="s">
        <v>122</v>
      </c>
      <c r="I128" s="433"/>
      <c r="J128" s="183" t="s">
        <v>104</v>
      </c>
      <c r="K128" s="183">
        <v>24</v>
      </c>
      <c r="L128" s="189">
        <f>$L$107*2</f>
        <v>0.08</v>
      </c>
      <c r="M128" s="183">
        <f t="shared" si="7"/>
        <v>1.92</v>
      </c>
      <c r="N128" s="188"/>
      <c r="O128" s="185">
        <f t="shared" si="6"/>
        <v>2</v>
      </c>
      <c r="P128" s="367"/>
    </row>
    <row r="129" spans="1:16" s="34" customFormat="1" ht="46.5" customHeight="1">
      <c r="A129" s="327">
        <v>10</v>
      </c>
      <c r="B129" s="429" t="s">
        <v>119</v>
      </c>
      <c r="C129" s="430"/>
      <c r="D129" s="430"/>
      <c r="E129" s="430"/>
      <c r="F129" s="431"/>
      <c r="G129" s="181"/>
      <c r="H129" s="432" t="s">
        <v>123</v>
      </c>
      <c r="I129" s="433"/>
      <c r="J129" s="183" t="s">
        <v>104</v>
      </c>
      <c r="K129" s="183">
        <v>12</v>
      </c>
      <c r="L129" s="189">
        <f>$L$107*2</f>
        <v>0.08</v>
      </c>
      <c r="M129" s="183">
        <f t="shared" si="7"/>
        <v>0.96</v>
      </c>
      <c r="N129" s="188"/>
      <c r="O129" s="185">
        <f t="shared" si="6"/>
        <v>1</v>
      </c>
      <c r="P129" s="367"/>
    </row>
    <row r="130" spans="1:16" s="34" customFormat="1" ht="46.5" customHeight="1">
      <c r="A130" s="327">
        <v>10</v>
      </c>
      <c r="B130" s="429" t="s">
        <v>119</v>
      </c>
      <c r="C130" s="430"/>
      <c r="D130" s="430"/>
      <c r="E130" s="430"/>
      <c r="F130" s="431"/>
      <c r="G130" s="181"/>
      <c r="H130" s="432">
        <v>41</v>
      </c>
      <c r="I130" s="433"/>
      <c r="J130" s="183" t="s">
        <v>104</v>
      </c>
      <c r="K130" s="183">
        <v>30</v>
      </c>
      <c r="L130" s="189">
        <f>$L$107*2</f>
        <v>0.08</v>
      </c>
      <c r="M130" s="183">
        <f t="shared" si="7"/>
        <v>2.4</v>
      </c>
      <c r="N130" s="188"/>
      <c r="O130" s="185">
        <f t="shared" si="6"/>
        <v>3</v>
      </c>
      <c r="P130" s="367"/>
    </row>
    <row r="131" spans="1:16" s="34" customFormat="1" ht="46.5" customHeight="1">
      <c r="A131" s="327">
        <v>10</v>
      </c>
      <c r="B131" s="429" t="s">
        <v>119</v>
      </c>
      <c r="C131" s="430"/>
      <c r="D131" s="430"/>
      <c r="E131" s="430"/>
      <c r="F131" s="431"/>
      <c r="G131" s="181"/>
      <c r="H131" s="434">
        <v>42</v>
      </c>
      <c r="I131" s="433"/>
      <c r="J131" s="183" t="s">
        <v>104</v>
      </c>
      <c r="K131" s="183">
        <v>67</v>
      </c>
      <c r="L131" s="189">
        <f>$L$107*2</f>
        <v>0.08</v>
      </c>
      <c r="M131" s="183">
        <f t="shared" si="7"/>
        <v>5.36</v>
      </c>
      <c r="N131" s="188"/>
      <c r="O131" s="185">
        <f t="shared" si="6"/>
        <v>6</v>
      </c>
      <c r="P131" s="367"/>
    </row>
    <row r="132" spans="1:16" s="15" customFormat="1" ht="32.4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124</v>
      </c>
      <c r="C133" s="88"/>
      <c r="D133" s="89"/>
      <c r="E133" s="89"/>
      <c r="F133" s="89"/>
      <c r="G133" s="90"/>
      <c r="H133" s="89"/>
      <c r="I133" s="89"/>
      <c r="J133" s="400" t="s">
        <v>125</v>
      </c>
      <c r="K133" s="400"/>
      <c r="L133" s="400"/>
      <c r="M133" s="400"/>
      <c r="N133" s="33"/>
      <c r="O133" s="33"/>
      <c r="P133" s="34"/>
    </row>
    <row r="134" spans="1:16" s="92" customFormat="1" ht="34.5" customHeight="1">
      <c r="A134" s="92">
        <v>1</v>
      </c>
      <c r="B134" s="94" t="s">
        <v>126</v>
      </c>
      <c r="C134" s="98" t="s">
        <v>127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13" t="s">
        <v>128</v>
      </c>
      <c r="C135" s="414"/>
      <c r="D135" s="414"/>
      <c r="E135" s="414"/>
      <c r="F135" s="414"/>
      <c r="G135" s="414"/>
      <c r="H135" s="414"/>
      <c r="I135" s="422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77</v>
      </c>
      <c r="C136" s="368" t="s">
        <v>129</v>
      </c>
      <c r="D136" s="423" t="s">
        <v>130</v>
      </c>
      <c r="E136" s="423"/>
      <c r="F136" s="423" t="s">
        <v>131</v>
      </c>
      <c r="G136" s="423"/>
      <c r="H136" s="423"/>
      <c r="I136" s="423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369" t="str">
        <f>$D$18</f>
        <v>BLACK</v>
      </c>
      <c r="C137" s="424" t="s">
        <v>132</v>
      </c>
      <c r="D137" s="426" t="s">
        <v>133</v>
      </c>
      <c r="E137" s="427"/>
      <c r="F137" s="428" t="s">
        <v>134</v>
      </c>
      <c r="G137" s="428"/>
      <c r="H137" s="428"/>
      <c r="I137" s="428"/>
      <c r="J137" s="35"/>
      <c r="K137" s="35"/>
      <c r="L137" s="35"/>
      <c r="M137" s="35"/>
      <c r="N137" s="35"/>
    </row>
    <row r="138" spans="1:16" s="15" customFormat="1" ht="64.8" hidden="1">
      <c r="A138" s="92"/>
      <c r="B138" s="369" t="str">
        <f>$D$23</f>
        <v>GREY HEATHER</v>
      </c>
      <c r="C138" s="425"/>
      <c r="D138" s="388" t="s">
        <v>135</v>
      </c>
      <c r="E138" s="390"/>
      <c r="F138" s="428" t="s">
        <v>136</v>
      </c>
      <c r="G138" s="428"/>
      <c r="H138" s="428"/>
      <c r="I138" s="428"/>
      <c r="J138" s="35"/>
      <c r="K138" s="35"/>
      <c r="L138" s="35"/>
      <c r="M138" s="35"/>
      <c r="N138" s="35"/>
    </row>
    <row r="139" spans="1:16" s="15" customFormat="1" ht="32.4" hidden="1"/>
    <row r="140" spans="1:16" s="15" customFormat="1" ht="32.4" hidden="1">
      <c r="A140" s="92"/>
      <c r="B140" s="413"/>
      <c r="C140" s="414"/>
      <c r="D140" s="415"/>
      <c r="E140" s="415"/>
      <c r="F140" s="415"/>
      <c r="G140" s="415"/>
      <c r="H140" s="415"/>
      <c r="I140" s="416"/>
      <c r="J140" s="35"/>
      <c r="K140" s="35"/>
    </row>
    <row r="141" spans="1:16" s="15" customFormat="1" ht="32.4" hidden="1">
      <c r="A141" s="92"/>
      <c r="B141" s="403"/>
      <c r="C141" s="404"/>
      <c r="D141" s="207" t="s">
        <v>36</v>
      </c>
      <c r="E141" s="207" t="s">
        <v>37</v>
      </c>
      <c r="F141" s="207" t="s">
        <v>38</v>
      </c>
      <c r="G141" s="207" t="s">
        <v>39</v>
      </c>
      <c r="H141" s="207" t="s">
        <v>40</v>
      </c>
      <c r="I141" s="207" t="s">
        <v>41</v>
      </c>
      <c r="J141" s="35"/>
    </row>
    <row r="142" spans="1:16" s="15" customFormat="1" ht="178.5" hidden="1" customHeight="1">
      <c r="A142" s="92"/>
      <c r="B142" s="417" t="s">
        <v>137</v>
      </c>
      <c r="C142" s="417"/>
      <c r="D142" s="370"/>
      <c r="E142" s="370">
        <v>2.2000000000000002</v>
      </c>
      <c r="F142" s="418">
        <v>3</v>
      </c>
      <c r="G142" s="419"/>
      <c r="H142" s="419"/>
      <c r="I142" s="420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2.4">
      <c r="A144" s="16">
        <v>2</v>
      </c>
      <c r="B144" s="94" t="s">
        <v>138</v>
      </c>
      <c r="C144" s="421" t="s">
        <v>139</v>
      </c>
      <c r="D144" s="421"/>
      <c r="E144" s="421"/>
      <c r="F144" s="421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2.4">
      <c r="A145" s="92"/>
      <c r="B145" s="413" t="s">
        <v>128</v>
      </c>
      <c r="C145" s="414"/>
      <c r="D145" s="414"/>
      <c r="E145" s="414"/>
      <c r="F145" s="414"/>
      <c r="G145" s="414"/>
      <c r="H145" s="414"/>
      <c r="I145" s="422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77</v>
      </c>
      <c r="C146" s="139" t="s">
        <v>140</v>
      </c>
      <c r="D146" s="139" t="s">
        <v>141</v>
      </c>
      <c r="E146" s="410" t="s">
        <v>142</v>
      </c>
      <c r="F146" s="411"/>
      <c r="G146" s="411"/>
      <c r="H146" s="411"/>
      <c r="I146" s="412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143</v>
      </c>
      <c r="D147" s="141" t="s">
        <v>144</v>
      </c>
      <c r="E147" s="388" t="s">
        <v>145</v>
      </c>
      <c r="F147" s="389"/>
      <c r="G147" s="389"/>
      <c r="H147" s="389"/>
      <c r="I147" s="390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143</v>
      </c>
      <c r="D148" s="141" t="s">
        <v>144</v>
      </c>
      <c r="E148" s="388" t="s">
        <v>146</v>
      </c>
      <c r="F148" s="389"/>
      <c r="G148" s="389"/>
      <c r="H148" s="389"/>
      <c r="I148" s="390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143</v>
      </c>
      <c r="D149" s="141" t="s">
        <v>144</v>
      </c>
      <c r="E149" s="388" t="s">
        <v>145</v>
      </c>
      <c r="F149" s="389"/>
      <c r="G149" s="389"/>
      <c r="H149" s="389"/>
      <c r="I149" s="390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143</v>
      </c>
      <c r="D150" s="141" t="s">
        <v>144</v>
      </c>
      <c r="E150" s="388" t="s">
        <v>145</v>
      </c>
      <c r="F150" s="389"/>
      <c r="G150" s="389"/>
      <c r="H150" s="389"/>
      <c r="I150" s="390"/>
      <c r="J150" s="35"/>
      <c r="K150" s="35"/>
      <c r="L150" s="35"/>
      <c r="M150" s="35"/>
      <c r="N150" s="35"/>
    </row>
    <row r="151" spans="1:16" s="15" customFormat="1" ht="32.4">
      <c r="A151" s="92"/>
      <c r="B151" s="413" t="s">
        <v>147</v>
      </c>
      <c r="C151" s="414"/>
      <c r="D151" s="415"/>
      <c r="E151" s="415"/>
      <c r="F151" s="415"/>
      <c r="G151" s="415"/>
      <c r="H151" s="415"/>
      <c r="I151" s="416"/>
      <c r="J151" s="35"/>
      <c r="K151" s="35"/>
    </row>
    <row r="152" spans="1:16" s="15" customFormat="1" ht="56.25" customHeight="1">
      <c r="A152" s="92"/>
      <c r="B152" s="403"/>
      <c r="C152" s="404"/>
      <c r="D152" s="207" t="s">
        <v>36</v>
      </c>
      <c r="E152" s="207" t="s">
        <v>37</v>
      </c>
      <c r="F152" s="207" t="s">
        <v>38</v>
      </c>
      <c r="G152" s="207" t="s">
        <v>39</v>
      </c>
      <c r="H152" s="207" t="s">
        <v>40</v>
      </c>
      <c r="I152" s="207" t="s">
        <v>41</v>
      </c>
      <c r="J152" s="35"/>
    </row>
    <row r="153" spans="1:16" s="15" customFormat="1" ht="111.75" customHeight="1">
      <c r="A153" s="92"/>
      <c r="B153" s="405" t="s">
        <v>148</v>
      </c>
      <c r="C153" s="406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405" t="s">
        <v>149</v>
      </c>
      <c r="C154" s="406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2.4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2.4">
      <c r="A156" s="16">
        <v>3</v>
      </c>
      <c r="B156" s="94" t="s">
        <v>150</v>
      </c>
      <c r="C156" s="18" t="s">
        <v>151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77</v>
      </c>
      <c r="C157" s="407" t="s">
        <v>152</v>
      </c>
      <c r="D157" s="408"/>
      <c r="E157" s="408"/>
      <c r="F157" s="408"/>
      <c r="G157" s="408"/>
      <c r="H157" s="408"/>
      <c r="I157" s="409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369" t="str">
        <f>$D$18</f>
        <v>BLACK</v>
      </c>
      <c r="C158" s="388" t="s">
        <v>153</v>
      </c>
      <c r="D158" s="389"/>
      <c r="E158" s="389"/>
      <c r="F158" s="389"/>
      <c r="G158" s="389"/>
      <c r="H158" s="389"/>
      <c r="I158" s="390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369" t="str">
        <f>$D$23</f>
        <v>GREY HEATHER</v>
      </c>
      <c r="C159" s="388" t="s">
        <v>154</v>
      </c>
      <c r="D159" s="389"/>
      <c r="E159" s="389"/>
      <c r="F159" s="389"/>
      <c r="G159" s="389"/>
      <c r="H159" s="389"/>
      <c r="I159" s="390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369" t="s">
        <v>155</v>
      </c>
      <c r="C160" s="391" t="s">
        <v>153</v>
      </c>
      <c r="D160" s="392"/>
      <c r="E160" s="392"/>
      <c r="F160" s="392"/>
      <c r="G160" s="392"/>
      <c r="H160" s="392"/>
      <c r="I160" s="393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369" t="s">
        <v>156</v>
      </c>
      <c r="C161" s="394"/>
      <c r="D161" s="395"/>
      <c r="E161" s="395"/>
      <c r="F161" s="395"/>
      <c r="G161" s="395"/>
      <c r="H161" s="395"/>
      <c r="I161" s="396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369" t="s">
        <v>50</v>
      </c>
      <c r="C162" s="397"/>
      <c r="D162" s="398"/>
      <c r="E162" s="398"/>
      <c r="F162" s="398"/>
      <c r="G162" s="398"/>
      <c r="H162" s="398"/>
      <c r="I162" s="399"/>
      <c r="J162" s="35"/>
      <c r="K162" s="35"/>
      <c r="L162" s="35"/>
      <c r="M162" s="35"/>
      <c r="N162" s="35"/>
    </row>
    <row r="163" spans="1:16" s="15" customFormat="1" ht="32.4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00" t="s">
        <v>157</v>
      </c>
      <c r="C164" s="400"/>
      <c r="D164" s="400"/>
      <c r="E164" s="400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158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159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160</v>
      </c>
      <c r="C167" s="92"/>
      <c r="D167" s="92"/>
      <c r="G167" s="35"/>
      <c r="M167" s="34"/>
      <c r="N167" s="33"/>
      <c r="O167" s="33"/>
      <c r="P167" s="34"/>
    </row>
    <row r="168" spans="1:16" s="18" customFormat="1" ht="32.4">
      <c r="A168" s="16"/>
      <c r="B168" s="292" t="s">
        <v>161</v>
      </c>
      <c r="C168" s="293" t="s">
        <v>37</v>
      </c>
      <c r="D168" s="293" t="s">
        <v>38</v>
      </c>
      <c r="E168" s="293" t="s">
        <v>39</v>
      </c>
      <c r="F168" s="293" t="s">
        <v>40</v>
      </c>
      <c r="G168" s="293" t="s">
        <v>41</v>
      </c>
      <c r="H168" s="293" t="s">
        <v>42</v>
      </c>
      <c r="L168" s="36"/>
      <c r="M168" s="37"/>
      <c r="N168" s="37"/>
      <c r="O168" s="36"/>
    </row>
    <row r="169" spans="1:16" s="18" customFormat="1" ht="50.1" customHeight="1">
      <c r="A169" s="16"/>
      <c r="B169" s="292" t="s">
        <v>162</v>
      </c>
      <c r="C169" s="185">
        <f>G42</f>
        <v>133</v>
      </c>
      <c r="D169" s="185">
        <f>H42</f>
        <v>268</v>
      </c>
      <c r="E169" s="185">
        <f>I42</f>
        <v>248</v>
      </c>
      <c r="F169" s="185">
        <f>J42</f>
        <v>105</v>
      </c>
      <c r="G169" s="185">
        <f>K42</f>
        <v>15</v>
      </c>
      <c r="H169" s="185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401"/>
      <c r="B170" s="402"/>
      <c r="C170" s="402"/>
      <c r="D170" s="402"/>
      <c r="E170" s="402"/>
      <c r="F170" s="402"/>
      <c r="G170" s="402"/>
      <c r="H170" s="402"/>
      <c r="I170" s="402"/>
      <c r="J170" s="402"/>
      <c r="K170" s="402"/>
      <c r="L170" s="402"/>
      <c r="M170" s="402"/>
      <c r="N170" s="402"/>
      <c r="O170" s="402"/>
      <c r="P170" s="402"/>
    </row>
    <row r="171" spans="1:16" s="96" customFormat="1" ht="132.9" customHeight="1">
      <c r="G171" s="97"/>
    </row>
    <row r="172" spans="1:16" s="96" customFormat="1" ht="32.4">
      <c r="G172" s="97"/>
    </row>
    <row r="173" spans="1:16" s="96" customFormat="1" ht="32.4">
      <c r="G173" s="97"/>
    </row>
    <row r="174" spans="1:16" s="96" customFormat="1" ht="32.4">
      <c r="G174" s="97"/>
    </row>
    <row r="175" spans="1:16" s="96" customFormat="1" ht="32.4">
      <c r="G175" s="97"/>
    </row>
    <row r="176" spans="1:16" s="96" customFormat="1" ht="32.4">
      <c r="G176" s="97"/>
    </row>
    <row r="177" spans="7:7" s="96" customFormat="1" ht="32.4">
      <c r="G177" s="97"/>
    </row>
    <row r="178" spans="7:7" s="96" customFormat="1" ht="32.4">
      <c r="G178" s="97"/>
    </row>
    <row r="179" spans="7:7" s="96" customFormat="1" ht="32.4">
      <c r="G179" s="97"/>
    </row>
    <row r="180" spans="7:7" s="96" customFormat="1" ht="32.4">
      <c r="G180" s="97"/>
    </row>
    <row r="181" spans="7:7" s="96" customFormat="1" ht="32.4">
      <c r="G181" s="97"/>
    </row>
    <row r="182" spans="7:7" s="96" customFormat="1" ht="32.4">
      <c r="G182" s="97"/>
    </row>
    <row r="183" spans="7:7" s="96" customFormat="1" ht="32.4">
      <c r="G183" s="97"/>
    </row>
    <row r="184" spans="7:7" s="96" customFormat="1" ht="32.4">
      <c r="G184" s="97"/>
    </row>
    <row r="185" spans="7:7" s="96" customFormat="1" ht="32.4">
      <c r="G185" s="97"/>
    </row>
    <row r="186" spans="7:7" s="96" customFormat="1" ht="32.4">
      <c r="G186" s="97"/>
    </row>
    <row r="187" spans="7:7" s="96" customFormat="1" ht="32.4">
      <c r="G187" s="97"/>
    </row>
    <row r="188" spans="7:7" s="96" customFormat="1" ht="32.4">
      <c r="G188" s="97"/>
    </row>
    <row r="189" spans="7:7" s="96" customFormat="1" ht="32.4">
      <c r="G189" s="97"/>
    </row>
    <row r="190" spans="7:7" s="96" customFormat="1" ht="32.4">
      <c r="G190" s="97"/>
    </row>
    <row r="191" spans="7:7" s="96" customFormat="1" ht="32.4">
      <c r="G191" s="97"/>
    </row>
    <row r="192" spans="7:7" s="96" customFormat="1" ht="32.4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U156"/>
  <sheetViews>
    <sheetView tabSelected="1" view="pageBreakPreview" topLeftCell="A43" zoomScale="40" zoomScaleNormal="40" zoomScaleSheetLayoutView="40" zoomScalePageLayoutView="25" workbookViewId="0">
      <selection activeCell="B72" sqref="B72:Q74"/>
    </sheetView>
  </sheetViews>
  <sheetFormatPr defaultColWidth="9.109375" defaultRowHeight="16.8"/>
  <cols>
    <col min="1" max="1" width="8.44140625" style="38" customWidth="1"/>
    <col min="2" max="2" width="25" style="38" customWidth="1"/>
    <col min="3" max="3" width="24.109375" style="38" customWidth="1"/>
    <col min="4" max="4" width="39.109375" style="38" customWidth="1"/>
    <col min="5" max="5" width="22.88671875" style="38" customWidth="1"/>
    <col min="6" max="6" width="24.5546875" style="202" customWidth="1"/>
    <col min="7" max="7" width="20" style="39" customWidth="1"/>
    <col min="8" max="8" width="19.44140625" style="38" customWidth="1"/>
    <col min="9" max="10" width="18.5546875" style="38" customWidth="1"/>
    <col min="11" max="11" width="22.109375" style="38" customWidth="1"/>
    <col min="12" max="12" width="21.5546875" style="38" customWidth="1"/>
    <col min="13" max="13" width="15.88671875" style="38" customWidth="1"/>
    <col min="14" max="15" width="13.44140625" style="38" customWidth="1"/>
    <col min="16" max="16" width="24.109375" style="38" customWidth="1"/>
    <col min="17" max="17" width="27.109375" style="38" customWidth="1"/>
    <col min="18" max="18" width="9.109375" style="38"/>
    <col min="19" max="19" width="13.109375" style="38" bestFit="1" customWidth="1"/>
    <col min="20" max="20" width="9.5546875" style="38" bestFit="1" customWidth="1"/>
    <col min="21" max="16384" width="9.109375" style="38"/>
  </cols>
  <sheetData>
    <row r="1" spans="1:17" s="4" customFormat="1" ht="39.9" customHeight="1">
      <c r="A1" s="69"/>
      <c r="B1" s="69"/>
      <c r="C1" s="69"/>
      <c r="D1" s="70"/>
      <c r="E1" s="69"/>
      <c r="F1" s="195"/>
      <c r="G1" s="69"/>
      <c r="H1" s="69"/>
      <c r="I1" s="69"/>
      <c r="J1" s="69"/>
      <c r="K1" s="69"/>
      <c r="L1" s="71"/>
      <c r="M1" s="71"/>
      <c r="N1" s="488" t="s">
        <v>0</v>
      </c>
      <c r="O1" s="488" t="s">
        <v>0</v>
      </c>
      <c r="P1" s="489" t="s">
        <v>1</v>
      </c>
      <c r="Q1" s="489"/>
    </row>
    <row r="2" spans="1:17" s="4" customFormat="1" ht="39.9" customHeight="1">
      <c r="A2" s="69"/>
      <c r="B2" s="69"/>
      <c r="C2" s="69"/>
      <c r="D2" s="69"/>
      <c r="E2" s="69"/>
      <c r="F2" s="195"/>
      <c r="G2" s="69"/>
      <c r="H2" s="69"/>
      <c r="I2" s="69"/>
      <c r="J2" s="69"/>
      <c r="K2" s="69"/>
      <c r="L2" s="71"/>
      <c r="M2" s="71"/>
      <c r="N2" s="488" t="s">
        <v>2</v>
      </c>
      <c r="O2" s="488" t="s">
        <v>2</v>
      </c>
      <c r="P2" s="490" t="s">
        <v>3</v>
      </c>
      <c r="Q2" s="490"/>
    </row>
    <row r="3" spans="1:17" s="4" customFormat="1" ht="39.9" customHeight="1">
      <c r="A3" s="69"/>
      <c r="B3" s="69"/>
      <c r="C3" s="69"/>
      <c r="D3" s="69"/>
      <c r="E3" s="69"/>
      <c r="F3" s="195"/>
      <c r="G3" s="69"/>
      <c r="H3" s="69"/>
      <c r="I3" s="69"/>
      <c r="J3" s="69"/>
      <c r="K3" s="69"/>
      <c r="L3" s="71"/>
      <c r="M3" s="71"/>
      <c r="N3" s="488" t="s">
        <v>4</v>
      </c>
      <c r="O3" s="488" t="s">
        <v>4</v>
      </c>
      <c r="P3" s="491" t="s">
        <v>5</v>
      </c>
      <c r="Q3" s="489"/>
    </row>
    <row r="4" spans="1:17" s="5" customFormat="1" ht="33" customHeight="1" thickBot="1">
      <c r="B4" s="6" t="s">
        <v>163</v>
      </c>
      <c r="F4" s="196"/>
      <c r="G4" s="7"/>
    </row>
    <row r="5" spans="1:17" s="5" customFormat="1" ht="57.9" customHeight="1">
      <c r="B5" s="8" t="s">
        <v>7</v>
      </c>
      <c r="C5" s="8"/>
      <c r="D5" s="6"/>
      <c r="F5" s="197"/>
      <c r="G5" s="522" t="s">
        <v>164</v>
      </c>
      <c r="H5" s="523"/>
      <c r="I5" s="523"/>
      <c r="J5" s="523"/>
      <c r="K5" s="523"/>
      <c r="L5" s="523"/>
      <c r="M5" s="524"/>
    </row>
    <row r="6" spans="1:17" s="10" customFormat="1" ht="57.9" customHeight="1">
      <c r="B6" s="11" t="s">
        <v>9</v>
      </c>
      <c r="C6" s="11"/>
      <c r="D6" s="12" t="s">
        <v>165</v>
      </c>
      <c r="E6" s="14"/>
      <c r="F6" s="198"/>
      <c r="G6" s="525"/>
      <c r="H6" s="526"/>
      <c r="I6" s="526"/>
      <c r="J6" s="526"/>
      <c r="K6" s="526"/>
      <c r="L6" s="526"/>
      <c r="M6" s="527"/>
      <c r="N6" s="13"/>
      <c r="O6" s="13"/>
      <c r="P6" s="13"/>
      <c r="Q6" s="13"/>
    </row>
    <row r="7" spans="1:17" s="10" customFormat="1" ht="57.9" customHeight="1">
      <c r="B7" s="11" t="s">
        <v>11</v>
      </c>
      <c r="C7" s="11"/>
      <c r="D7" s="12" t="s">
        <v>166</v>
      </c>
      <c r="E7" s="12"/>
      <c r="F7" s="198"/>
      <c r="G7" s="525"/>
      <c r="H7" s="526"/>
      <c r="I7" s="526"/>
      <c r="J7" s="526"/>
      <c r="K7" s="526"/>
      <c r="L7" s="526"/>
      <c r="M7" s="527"/>
      <c r="N7" s="13"/>
      <c r="O7" s="13"/>
      <c r="P7" s="13"/>
      <c r="Q7" s="13"/>
    </row>
    <row r="8" spans="1:17" s="10" customFormat="1" ht="57.9" customHeight="1" thickBot="1">
      <c r="B8" s="11" t="s">
        <v>13</v>
      </c>
      <c r="C8" s="11"/>
      <c r="D8" s="521" t="s">
        <v>167</v>
      </c>
      <c r="E8" s="483"/>
      <c r="F8" s="483"/>
      <c r="G8" s="528"/>
      <c r="H8" s="529"/>
      <c r="I8" s="529"/>
      <c r="J8" s="529"/>
      <c r="K8" s="529"/>
      <c r="L8" s="529"/>
      <c r="M8" s="530"/>
      <c r="N8" s="13"/>
      <c r="O8" s="13"/>
      <c r="P8" s="13"/>
      <c r="Q8" s="13"/>
    </row>
    <row r="9" spans="1:17" s="15" customFormat="1" ht="32.4">
      <c r="B9" s="16" t="s">
        <v>15</v>
      </c>
      <c r="C9" s="16"/>
      <c r="D9" s="137" t="s">
        <v>168</v>
      </c>
      <c r="E9" s="17"/>
      <c r="F9" s="36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4">
      <c r="B10" s="352" t="s">
        <v>17</v>
      </c>
      <c r="C10" s="352"/>
      <c r="D10" s="136" t="s">
        <v>169</v>
      </c>
      <c r="E10" s="136"/>
      <c r="F10" s="371"/>
      <c r="G10" s="353"/>
      <c r="H10" s="136"/>
      <c r="I10" s="182"/>
      <c r="J10" s="372" t="s">
        <v>19</v>
      </c>
      <c r="K10" s="182"/>
      <c r="L10" s="182"/>
      <c r="M10" s="182" t="s">
        <v>170</v>
      </c>
      <c r="N10" s="354"/>
      <c r="O10" s="354"/>
      <c r="P10" s="354"/>
      <c r="Q10" s="354"/>
    </row>
    <row r="11" spans="1:17" s="15" customFormat="1" ht="32.4">
      <c r="B11" s="182" t="s">
        <v>21</v>
      </c>
      <c r="C11" s="182"/>
      <c r="D11" s="484">
        <v>45415</v>
      </c>
      <c r="E11" s="485"/>
      <c r="F11" s="485"/>
      <c r="G11" s="356"/>
      <c r="H11" s="355"/>
      <c r="I11" s="182"/>
      <c r="J11" s="372" t="s">
        <v>22</v>
      </c>
      <c r="K11" s="182"/>
      <c r="L11" s="182"/>
      <c r="M11" s="486" t="s">
        <v>171</v>
      </c>
      <c r="N11" s="486"/>
      <c r="O11" s="486"/>
      <c r="P11" s="486"/>
      <c r="Q11" s="486"/>
    </row>
    <row r="12" spans="1:17" s="15" customFormat="1" ht="32.4">
      <c r="B12" s="182" t="s">
        <v>24</v>
      </c>
      <c r="C12" s="182"/>
      <c r="D12" s="357">
        <f>D11+10</f>
        <v>45425</v>
      </c>
      <c r="E12" s="182"/>
      <c r="F12" s="359"/>
      <c r="G12" s="358"/>
      <c r="H12" s="359"/>
      <c r="I12" s="182"/>
      <c r="J12" s="372" t="s">
        <v>25</v>
      </c>
      <c r="M12" s="182" t="s">
        <v>172</v>
      </c>
      <c r="N12" s="182"/>
      <c r="O12" s="359"/>
      <c r="P12" s="359"/>
      <c r="Q12" s="354"/>
    </row>
    <row r="13" spans="1:17" s="15" customFormat="1" ht="32.4">
      <c r="B13" s="487"/>
      <c r="C13" s="487"/>
      <c r="D13" s="487"/>
      <c r="E13" s="487"/>
      <c r="F13" s="487"/>
      <c r="G13" s="358"/>
      <c r="H13" s="359"/>
      <c r="I13" s="182"/>
      <c r="J13" s="372" t="s">
        <v>27</v>
      </c>
      <c r="K13" s="182"/>
      <c r="L13" s="182"/>
      <c r="M13" s="182" t="s">
        <v>173</v>
      </c>
      <c r="N13" s="359"/>
      <c r="O13" s="354"/>
      <c r="P13" s="354"/>
      <c r="Q13" s="359"/>
    </row>
    <row r="14" spans="1:17" s="15" customFormat="1" ht="32.4">
      <c r="B14" s="182" t="s">
        <v>29</v>
      </c>
      <c r="C14" s="182"/>
      <c r="D14" s="182" t="s">
        <v>30</v>
      </c>
      <c r="E14" s="182"/>
      <c r="F14" s="359"/>
      <c r="G14" s="360"/>
      <c r="H14" s="182"/>
      <c r="I14" s="182"/>
      <c r="J14" s="372" t="s">
        <v>31</v>
      </c>
      <c r="K14" s="182"/>
      <c r="L14" s="182"/>
      <c r="M14" s="354" t="s">
        <v>174</v>
      </c>
      <c r="N14" s="354"/>
      <c r="O14" s="354"/>
      <c r="P14" s="354"/>
      <c r="Q14" s="354"/>
    </row>
    <row r="15" spans="1:17" s="15" customFormat="1" ht="32.4" customHeight="1">
      <c r="B15" s="20" t="s">
        <v>33</v>
      </c>
      <c r="C15" s="20"/>
      <c r="D15" s="20"/>
      <c r="E15" s="16"/>
      <c r="F15" s="3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17" s="193" customFormat="1" ht="37.5" customHeight="1">
      <c r="A17" s="5"/>
      <c r="B17" s="262"/>
      <c r="C17" s="263" t="s">
        <v>34</v>
      </c>
      <c r="D17" s="263" t="s">
        <v>35</v>
      </c>
      <c r="E17" s="264" t="s">
        <v>36</v>
      </c>
      <c r="F17" s="281" t="s">
        <v>175</v>
      </c>
      <c r="G17" s="281" t="s">
        <v>37</v>
      </c>
      <c r="H17" s="281" t="s">
        <v>38</v>
      </c>
      <c r="I17" s="281" t="s">
        <v>39</v>
      </c>
      <c r="J17" s="281" t="s">
        <v>40</v>
      </c>
      <c r="K17" s="281" t="s">
        <v>41</v>
      </c>
      <c r="L17" s="281"/>
      <c r="M17" s="264"/>
      <c r="N17" s="264"/>
      <c r="O17" s="264"/>
      <c r="P17" s="264"/>
      <c r="Q17" s="265" t="s">
        <v>42</v>
      </c>
    </row>
    <row r="18" spans="1:17" s="193" customFormat="1" ht="74.25" customHeight="1">
      <c r="B18" s="328" t="s">
        <v>43</v>
      </c>
      <c r="C18" s="329"/>
      <c r="D18" s="330" t="s">
        <v>176</v>
      </c>
      <c r="E18" s="331"/>
      <c r="F18" s="332">
        <v>0</v>
      </c>
      <c r="G18" s="332">
        <v>0</v>
      </c>
      <c r="H18" s="332">
        <v>1</v>
      </c>
      <c r="I18" s="332">
        <v>0</v>
      </c>
      <c r="J18" s="332">
        <v>0</v>
      </c>
      <c r="K18" s="332">
        <v>0</v>
      </c>
      <c r="L18" s="333"/>
      <c r="M18" s="333"/>
      <c r="N18" s="333"/>
      <c r="O18" s="333"/>
      <c r="P18" s="333"/>
      <c r="Q18" s="334">
        <f>SUM(E18:P18)</f>
        <v>1</v>
      </c>
    </row>
    <row r="19" spans="1:17" s="193" customFormat="1" ht="74.25" customHeight="1">
      <c r="B19" s="328" t="s">
        <v>45</v>
      </c>
      <c r="C19" s="329"/>
      <c r="D19" s="330" t="str">
        <f>D18</f>
        <v>PRISTINE</v>
      </c>
      <c r="E19" s="331"/>
      <c r="F19" s="332">
        <v>0</v>
      </c>
      <c r="G19" s="332">
        <v>0</v>
      </c>
      <c r="H19" s="332">
        <v>2</v>
      </c>
      <c r="I19" s="332">
        <v>0</v>
      </c>
      <c r="J19" s="332">
        <v>0</v>
      </c>
      <c r="K19" s="332">
        <v>0</v>
      </c>
      <c r="L19" s="333"/>
      <c r="M19" s="333"/>
      <c r="N19" s="333"/>
      <c r="O19" s="333"/>
      <c r="P19" s="333"/>
      <c r="Q19" s="334">
        <f>SUM(E19:P19)</f>
        <v>2</v>
      </c>
    </row>
    <row r="20" spans="1:17" s="193" customFormat="1" ht="74.25" customHeight="1">
      <c r="B20" s="328" t="s">
        <v>177</v>
      </c>
      <c r="C20" s="329"/>
      <c r="D20" s="330" t="str">
        <f t="shared" ref="D20:D22" si="0">D19</f>
        <v>PRISTINE</v>
      </c>
      <c r="E20" s="331"/>
      <c r="F20" s="332">
        <v>0</v>
      </c>
      <c r="G20" s="332">
        <v>0</v>
      </c>
      <c r="H20" s="332">
        <v>0</v>
      </c>
      <c r="I20" s="332">
        <v>0</v>
      </c>
      <c r="J20" s="332">
        <v>0</v>
      </c>
      <c r="K20" s="332">
        <v>0</v>
      </c>
      <c r="L20" s="335"/>
      <c r="M20" s="333"/>
      <c r="N20" s="333"/>
      <c r="O20" s="333"/>
      <c r="P20" s="333"/>
      <c r="Q20" s="334">
        <f>SUM(E20:P20)</f>
        <v>0</v>
      </c>
    </row>
    <row r="21" spans="1:17" s="193" customFormat="1" ht="74.25" customHeight="1">
      <c r="B21" s="328" t="s">
        <v>178</v>
      </c>
      <c r="C21" s="329"/>
      <c r="D21" s="330" t="str">
        <f t="shared" si="0"/>
        <v>PRISTINE</v>
      </c>
      <c r="E21" s="331"/>
      <c r="F21" s="336"/>
      <c r="G21" s="336">
        <v>0</v>
      </c>
      <c r="H21" s="336">
        <v>0</v>
      </c>
      <c r="I21" s="336">
        <v>0</v>
      </c>
      <c r="J21" s="336">
        <v>0</v>
      </c>
      <c r="K21" s="336"/>
      <c r="L21" s="335"/>
      <c r="M21" s="333"/>
      <c r="N21" s="333"/>
      <c r="O21" s="333"/>
      <c r="P21" s="333"/>
      <c r="Q21" s="334">
        <f>SUM(E21:P21)</f>
        <v>0</v>
      </c>
    </row>
    <row r="22" spans="1:17" s="194" customFormat="1" ht="54">
      <c r="B22" s="337" t="s">
        <v>46</v>
      </c>
      <c r="C22" s="337"/>
      <c r="D22" s="338" t="str">
        <f t="shared" si="0"/>
        <v>PRISTINE</v>
      </c>
      <c r="E22" s="339"/>
      <c r="F22" s="340">
        <f t="shared" ref="F22:K22" si="1">SUM(F18:F21)</f>
        <v>0</v>
      </c>
      <c r="G22" s="340">
        <f>SUM(G18:G21)</f>
        <v>0</v>
      </c>
      <c r="H22" s="340">
        <f t="shared" si="1"/>
        <v>3</v>
      </c>
      <c r="I22" s="340">
        <f t="shared" si="1"/>
        <v>0</v>
      </c>
      <c r="J22" s="340">
        <f t="shared" si="1"/>
        <v>0</v>
      </c>
      <c r="K22" s="340">
        <f t="shared" si="1"/>
        <v>0</v>
      </c>
      <c r="L22" s="341"/>
      <c r="M22" s="340"/>
      <c r="N22" s="340"/>
      <c r="O22" s="340"/>
      <c r="P22" s="340"/>
      <c r="Q22" s="340">
        <f>SUM(Q18:Q21)</f>
        <v>3</v>
      </c>
    </row>
    <row r="23" spans="1:17" s="193" customFormat="1" ht="54">
      <c r="B23" s="342"/>
      <c r="C23" s="342"/>
      <c r="D23" s="342"/>
      <c r="E23" s="343"/>
      <c r="F23" s="344"/>
      <c r="G23" s="345"/>
      <c r="H23" s="343"/>
      <c r="I23" s="343"/>
      <c r="J23" s="343"/>
      <c r="K23" s="343"/>
      <c r="L23" s="343"/>
      <c r="M23" s="346"/>
      <c r="N23" s="346"/>
      <c r="O23" s="346"/>
      <c r="P23" s="346"/>
      <c r="Q23" s="347"/>
    </row>
    <row r="24" spans="1:17" s="193" customFormat="1" ht="37.5" hidden="1" customHeight="1">
      <c r="A24" s="5"/>
      <c r="B24" s="262"/>
      <c r="C24" s="263" t="s">
        <v>34</v>
      </c>
      <c r="D24" s="263" t="s">
        <v>35</v>
      </c>
      <c r="E24" s="264" t="s">
        <v>36</v>
      </c>
      <c r="F24" s="281" t="s">
        <v>175</v>
      </c>
      <c r="G24" s="281" t="s">
        <v>37</v>
      </c>
      <c r="H24" s="281" t="s">
        <v>38</v>
      </c>
      <c r="I24" s="281" t="s">
        <v>39</v>
      </c>
      <c r="J24" s="281" t="s">
        <v>40</v>
      </c>
      <c r="K24" s="281" t="s">
        <v>41</v>
      </c>
      <c r="L24" s="281"/>
      <c r="M24" s="264"/>
      <c r="N24" s="264"/>
      <c r="O24" s="264"/>
      <c r="P24" s="264"/>
      <c r="Q24" s="265" t="s">
        <v>42</v>
      </c>
    </row>
    <row r="25" spans="1:17" s="193" customFormat="1" ht="54" hidden="1">
      <c r="A25" s="5"/>
      <c r="B25" s="259" t="s">
        <v>43</v>
      </c>
      <c r="C25" s="266"/>
      <c r="D25" s="282" t="s">
        <v>179</v>
      </c>
      <c r="E25" s="261"/>
      <c r="F25" s="267">
        <v>0</v>
      </c>
      <c r="G25" s="267">
        <v>0</v>
      </c>
      <c r="H25" s="267">
        <v>0</v>
      </c>
      <c r="I25" s="267">
        <v>0</v>
      </c>
      <c r="J25" s="267">
        <v>0</v>
      </c>
      <c r="K25" s="267">
        <v>0</v>
      </c>
      <c r="L25" s="268"/>
      <c r="M25" s="268"/>
      <c r="N25" s="268"/>
      <c r="O25" s="268"/>
      <c r="P25" s="268"/>
      <c r="Q25" s="269">
        <f>SUM(E25:P25)</f>
        <v>0</v>
      </c>
    </row>
    <row r="26" spans="1:17" s="193" customFormat="1" ht="54" hidden="1">
      <c r="A26" s="5"/>
      <c r="B26" s="259" t="s">
        <v>45</v>
      </c>
      <c r="C26" s="266"/>
      <c r="D26" s="282" t="str">
        <f>D25</f>
        <v>Green / Yellow</v>
      </c>
      <c r="E26" s="261"/>
      <c r="F26" s="270">
        <f>ROUND(F25*5%,0)</f>
        <v>0</v>
      </c>
      <c r="G26" s="270">
        <f t="shared" ref="G26:K26" si="2">ROUND(G25*5%,0)</f>
        <v>0</v>
      </c>
      <c r="H26" s="270">
        <f t="shared" si="2"/>
        <v>0</v>
      </c>
      <c r="I26" s="270">
        <f t="shared" si="2"/>
        <v>0</v>
      </c>
      <c r="J26" s="270">
        <f t="shared" si="2"/>
        <v>0</v>
      </c>
      <c r="K26" s="270">
        <f t="shared" si="2"/>
        <v>0</v>
      </c>
      <c r="L26" s="268"/>
      <c r="M26" s="268"/>
      <c r="N26" s="268"/>
      <c r="O26" s="268"/>
      <c r="P26" s="268"/>
      <c r="Q26" s="269">
        <f>SUM(E26:P26)</f>
        <v>0</v>
      </c>
    </row>
    <row r="27" spans="1:17" s="193" customFormat="1" ht="54" hidden="1">
      <c r="A27" s="5"/>
      <c r="B27" s="259" t="s">
        <v>177</v>
      </c>
      <c r="C27" s="266"/>
      <c r="D27" s="282" t="str">
        <f t="shared" ref="D27:D29" si="3">D26</f>
        <v>Green / Yellow</v>
      </c>
      <c r="E27" s="261"/>
      <c r="F27" s="270">
        <v>0</v>
      </c>
      <c r="G27" s="270">
        <v>0</v>
      </c>
      <c r="H27" s="270">
        <v>0</v>
      </c>
      <c r="I27" s="270">
        <v>0</v>
      </c>
      <c r="J27" s="270">
        <v>0</v>
      </c>
      <c r="K27" s="270">
        <v>0</v>
      </c>
      <c r="L27" s="271"/>
      <c r="M27" s="268"/>
      <c r="N27" s="268"/>
      <c r="O27" s="268"/>
      <c r="P27" s="268"/>
      <c r="Q27" s="269">
        <f>SUM(E27:P27)</f>
        <v>0</v>
      </c>
    </row>
    <row r="28" spans="1:17" s="193" customFormat="1" ht="54" hidden="1">
      <c r="A28" s="5"/>
      <c r="B28" s="259" t="s">
        <v>178</v>
      </c>
      <c r="C28" s="266"/>
      <c r="D28" s="282" t="str">
        <f t="shared" si="3"/>
        <v>Green / Yellow</v>
      </c>
      <c r="E28" s="261"/>
      <c r="F28" s="270"/>
      <c r="G28" s="270">
        <v>0</v>
      </c>
      <c r="H28" s="270">
        <v>0</v>
      </c>
      <c r="I28" s="270">
        <v>0</v>
      </c>
      <c r="J28" s="270">
        <v>0</v>
      </c>
      <c r="K28" s="270"/>
      <c r="L28" s="271"/>
      <c r="M28" s="268"/>
      <c r="N28" s="268"/>
      <c r="O28" s="268"/>
      <c r="P28" s="268"/>
      <c r="Q28" s="269">
        <f>SUM(E28:P28)</f>
        <v>0</v>
      </c>
    </row>
    <row r="29" spans="1:17" s="194" customFormat="1" ht="54" hidden="1">
      <c r="A29" s="6"/>
      <c r="B29" s="272" t="s">
        <v>46</v>
      </c>
      <c r="C29" s="272"/>
      <c r="D29" s="260" t="str">
        <f t="shared" si="3"/>
        <v>Green / Yellow</v>
      </c>
      <c r="E29" s="273"/>
      <c r="F29" s="274">
        <f>SUM(F25:F28)</f>
        <v>0</v>
      </c>
      <c r="G29" s="274">
        <f t="shared" ref="G29:K29" si="4">SUM(G25:G28)</f>
        <v>0</v>
      </c>
      <c r="H29" s="274">
        <f t="shared" si="4"/>
        <v>0</v>
      </c>
      <c r="I29" s="274">
        <f t="shared" si="4"/>
        <v>0</v>
      </c>
      <c r="J29" s="274">
        <f t="shared" si="4"/>
        <v>0</v>
      </c>
      <c r="K29" s="274">
        <f t="shared" si="4"/>
        <v>0</v>
      </c>
      <c r="L29" s="275"/>
      <c r="M29" s="274"/>
      <c r="N29" s="274"/>
      <c r="O29" s="274"/>
      <c r="P29" s="274"/>
      <c r="Q29" s="274">
        <f>SUM(Q25:Q28)</f>
        <v>0</v>
      </c>
    </row>
    <row r="30" spans="1:17" s="193" customFormat="1" ht="54" hidden="1">
      <c r="A30" s="5"/>
      <c r="B30" s="12"/>
      <c r="C30" s="12"/>
      <c r="D30" s="12"/>
      <c r="E30" s="276"/>
      <c r="F30" s="277"/>
      <c r="G30" s="278"/>
      <c r="H30" s="276"/>
      <c r="I30" s="276"/>
      <c r="J30" s="276"/>
      <c r="K30" s="276"/>
      <c r="L30" s="276"/>
      <c r="M30" s="279"/>
      <c r="N30" s="279"/>
      <c r="O30" s="279"/>
      <c r="P30" s="279"/>
      <c r="Q30" s="280"/>
    </row>
    <row r="31" spans="1:17" s="193" customFormat="1" ht="37.5" hidden="1" customHeight="1">
      <c r="A31" s="5"/>
      <c r="B31" s="262"/>
      <c r="C31" s="263" t="s">
        <v>34</v>
      </c>
      <c r="D31" s="263" t="s">
        <v>35</v>
      </c>
      <c r="E31" s="264" t="s">
        <v>36</v>
      </c>
      <c r="F31" s="281" t="s">
        <v>175</v>
      </c>
      <c r="G31" s="281" t="s">
        <v>37</v>
      </c>
      <c r="H31" s="281" t="s">
        <v>38</v>
      </c>
      <c r="I31" s="281" t="s">
        <v>39</v>
      </c>
      <c r="J31" s="281" t="s">
        <v>40</v>
      </c>
      <c r="K31" s="281" t="s">
        <v>41</v>
      </c>
      <c r="L31" s="281"/>
      <c r="M31" s="264"/>
      <c r="N31" s="264"/>
      <c r="O31" s="264"/>
      <c r="P31" s="264"/>
      <c r="Q31" s="265" t="s">
        <v>42</v>
      </c>
    </row>
    <row r="32" spans="1:17" s="193" customFormat="1" ht="64.8" hidden="1">
      <c r="A32" s="5"/>
      <c r="B32" s="259" t="s">
        <v>43</v>
      </c>
      <c r="C32" s="266"/>
      <c r="D32" s="282" t="s">
        <v>180</v>
      </c>
      <c r="E32" s="261"/>
      <c r="F32" s="267">
        <v>0</v>
      </c>
      <c r="G32" s="267">
        <v>0</v>
      </c>
      <c r="H32" s="267">
        <v>0</v>
      </c>
      <c r="I32" s="267">
        <v>0</v>
      </c>
      <c r="J32" s="267">
        <v>0</v>
      </c>
      <c r="K32" s="267">
        <v>0</v>
      </c>
      <c r="L32" s="268"/>
      <c r="M32" s="268"/>
      <c r="N32" s="268"/>
      <c r="O32" s="268"/>
      <c r="P32" s="268"/>
      <c r="Q32" s="269">
        <f>SUM(E32:P32)</f>
        <v>0</v>
      </c>
    </row>
    <row r="33" spans="1:21" s="193" customFormat="1" ht="64.8" hidden="1">
      <c r="A33" s="5"/>
      <c r="B33" s="259" t="s">
        <v>45</v>
      </c>
      <c r="C33" s="266"/>
      <c r="D33" s="282" t="str">
        <f>D32</f>
        <v>Laurel Oak / Pristine</v>
      </c>
      <c r="E33" s="261"/>
      <c r="F33" s="270">
        <v>0</v>
      </c>
      <c r="G33" s="270">
        <v>0</v>
      </c>
      <c r="H33" s="270">
        <v>0</v>
      </c>
      <c r="I33" s="270">
        <v>0</v>
      </c>
      <c r="J33" s="270">
        <v>0</v>
      </c>
      <c r="K33" s="270">
        <v>0</v>
      </c>
      <c r="L33" s="268"/>
      <c r="M33" s="268"/>
      <c r="N33" s="268"/>
      <c r="O33" s="268"/>
      <c r="P33" s="268"/>
      <c r="Q33" s="269">
        <f>SUM(E33:P33)</f>
        <v>0</v>
      </c>
    </row>
    <row r="34" spans="1:21" s="193" customFormat="1" ht="64.8" hidden="1">
      <c r="A34" s="5"/>
      <c r="B34" s="259" t="s">
        <v>177</v>
      </c>
      <c r="C34" s="266"/>
      <c r="D34" s="282" t="str">
        <f>D33</f>
        <v>Laurel Oak / Pristine</v>
      </c>
      <c r="E34" s="261"/>
      <c r="F34" s="270">
        <v>0</v>
      </c>
      <c r="G34" s="270">
        <v>0</v>
      </c>
      <c r="H34" s="270">
        <v>0</v>
      </c>
      <c r="I34" s="270">
        <v>0</v>
      </c>
      <c r="J34" s="270">
        <v>0</v>
      </c>
      <c r="K34" s="270">
        <v>0</v>
      </c>
      <c r="L34" s="271"/>
      <c r="M34" s="268"/>
      <c r="N34" s="268"/>
      <c r="O34" s="268"/>
      <c r="P34" s="268"/>
      <c r="Q34" s="269">
        <f>SUM(E34:P34)</f>
        <v>0</v>
      </c>
    </row>
    <row r="35" spans="1:21" s="193" customFormat="1" ht="64.8" hidden="1">
      <c r="A35" s="5"/>
      <c r="B35" s="259" t="s">
        <v>178</v>
      </c>
      <c r="C35" s="266"/>
      <c r="D35" s="282" t="str">
        <f>D34</f>
        <v>Laurel Oak / Pristine</v>
      </c>
      <c r="E35" s="261"/>
      <c r="F35" s="270"/>
      <c r="G35" s="270">
        <v>0</v>
      </c>
      <c r="H35" s="270">
        <v>0</v>
      </c>
      <c r="I35" s="270">
        <v>0</v>
      </c>
      <c r="J35" s="270">
        <v>0</v>
      </c>
      <c r="K35" s="270"/>
      <c r="L35" s="271"/>
      <c r="M35" s="268"/>
      <c r="N35" s="268"/>
      <c r="O35" s="268"/>
      <c r="P35" s="268"/>
      <c r="Q35" s="269">
        <f>SUM(E35:P35)</f>
        <v>0</v>
      </c>
    </row>
    <row r="36" spans="1:21" s="194" customFormat="1" ht="54" hidden="1">
      <c r="A36" s="6"/>
      <c r="B36" s="272" t="s">
        <v>46</v>
      </c>
      <c r="C36" s="272"/>
      <c r="D36" s="260" t="str">
        <f>D35</f>
        <v>Laurel Oak / Pristine</v>
      </c>
      <c r="E36" s="273"/>
      <c r="F36" s="274">
        <f t="shared" ref="F36:K36" si="5">SUM(F32:F35)</f>
        <v>0</v>
      </c>
      <c r="G36" s="274">
        <f t="shared" si="5"/>
        <v>0</v>
      </c>
      <c r="H36" s="274">
        <f t="shared" si="5"/>
        <v>0</v>
      </c>
      <c r="I36" s="274">
        <f t="shared" si="5"/>
        <v>0</v>
      </c>
      <c r="J36" s="274">
        <f t="shared" si="5"/>
        <v>0</v>
      </c>
      <c r="K36" s="274">
        <f t="shared" si="5"/>
        <v>0</v>
      </c>
      <c r="L36" s="275"/>
      <c r="M36" s="274"/>
      <c r="N36" s="274"/>
      <c r="O36" s="274"/>
      <c r="P36" s="274"/>
      <c r="Q36" s="274">
        <f>SUM(Q32:Q35)</f>
        <v>0</v>
      </c>
    </row>
    <row r="37" spans="1:21" s="193" customFormat="1" ht="54" hidden="1">
      <c r="A37" s="5"/>
      <c r="B37" s="12"/>
      <c r="C37" s="12"/>
      <c r="D37" s="12"/>
      <c r="E37" s="276"/>
      <c r="F37" s="277"/>
      <c r="G37" s="278"/>
      <c r="H37" s="276"/>
      <c r="I37" s="276"/>
      <c r="J37" s="276"/>
      <c r="K37" s="276"/>
      <c r="L37" s="276"/>
      <c r="M37" s="279"/>
      <c r="N37" s="279"/>
      <c r="O37" s="279"/>
      <c r="P37" s="279"/>
      <c r="Q37" s="280"/>
    </row>
    <row r="38" spans="1:21" s="194" customFormat="1" ht="54">
      <c r="B38" s="348" t="s">
        <v>51</v>
      </c>
      <c r="C38" s="349"/>
      <c r="D38" s="348"/>
      <c r="E38" s="350"/>
      <c r="F38" s="351">
        <f t="shared" ref="F38:K38" si="6">F36+F22+F29</f>
        <v>0</v>
      </c>
      <c r="G38" s="351">
        <f t="shared" si="6"/>
        <v>0</v>
      </c>
      <c r="H38" s="351">
        <f t="shared" si="6"/>
        <v>3</v>
      </c>
      <c r="I38" s="351">
        <f t="shared" si="6"/>
        <v>0</v>
      </c>
      <c r="J38" s="351">
        <f t="shared" si="6"/>
        <v>0</v>
      </c>
      <c r="K38" s="351">
        <f t="shared" si="6"/>
        <v>0</v>
      </c>
      <c r="L38" s="351"/>
      <c r="M38" s="351"/>
      <c r="N38" s="351"/>
      <c r="O38" s="351"/>
      <c r="P38" s="351"/>
      <c r="Q38" s="351">
        <f>Q36+Q22+Q29</f>
        <v>3</v>
      </c>
      <c r="S38" s="208"/>
    </row>
    <row r="39" spans="1:21" s="99" customFormat="1" ht="20.25" customHeight="1">
      <c r="B39" s="100"/>
      <c r="C39" s="101"/>
      <c r="D39" s="467" t="s">
        <v>181</v>
      </c>
      <c r="E39" s="467"/>
      <c r="F39" s="467"/>
      <c r="G39" s="467"/>
      <c r="H39" s="467"/>
      <c r="I39" s="467"/>
      <c r="J39" s="467"/>
      <c r="K39" s="467"/>
      <c r="L39" s="467"/>
      <c r="M39" s="467"/>
      <c r="N39" s="467"/>
      <c r="O39" s="467"/>
      <c r="P39" s="467"/>
      <c r="Q39" s="467"/>
    </row>
    <row r="40" spans="1:21" s="4" customFormat="1" ht="48.75" customHeight="1">
      <c r="B40" s="87" t="s">
        <v>53</v>
      </c>
      <c r="C40" s="24"/>
      <c r="D40" s="467"/>
      <c r="E40" s="467"/>
      <c r="F40" s="467"/>
      <c r="G40" s="467"/>
      <c r="H40" s="467"/>
      <c r="I40" s="467"/>
      <c r="J40" s="467"/>
      <c r="K40" s="467"/>
      <c r="L40" s="467"/>
      <c r="M40" s="467"/>
      <c r="N40" s="467"/>
      <c r="O40" s="467"/>
      <c r="P40" s="467"/>
      <c r="Q40" s="467"/>
    </row>
    <row r="41" spans="1:21" s="25" customFormat="1" ht="168">
      <c r="A41" s="534" t="s">
        <v>54</v>
      </c>
      <c r="B41" s="534"/>
      <c r="C41" s="534"/>
      <c r="D41" s="187" t="s">
        <v>55</v>
      </c>
      <c r="E41" s="187" t="s">
        <v>56</v>
      </c>
      <c r="F41" s="187" t="s">
        <v>57</v>
      </c>
      <c r="G41" s="186" t="s">
        <v>58</v>
      </c>
      <c r="H41" s="186" t="s">
        <v>59</v>
      </c>
      <c r="I41" s="186" t="s">
        <v>60</v>
      </c>
      <c r="J41" s="186" t="s">
        <v>182</v>
      </c>
      <c r="K41" s="186" t="s">
        <v>183</v>
      </c>
      <c r="L41" s="186" t="s">
        <v>184</v>
      </c>
      <c r="M41" s="186" t="s">
        <v>63</v>
      </c>
      <c r="N41" s="531" t="s">
        <v>64</v>
      </c>
      <c r="O41" s="531"/>
      <c r="P41" s="531"/>
      <c r="Q41" s="531"/>
    </row>
    <row r="42" spans="1:21" s="34" customFormat="1" ht="45.75" customHeight="1">
      <c r="A42" s="532" t="str">
        <f>D18</f>
        <v>PRISTINE</v>
      </c>
      <c r="B42" s="532"/>
      <c r="C42" s="532"/>
      <c r="D42" s="532"/>
      <c r="E42" s="532"/>
      <c r="F42" s="532"/>
      <c r="G42" s="532"/>
      <c r="H42" s="532"/>
      <c r="I42" s="532"/>
      <c r="J42" s="532"/>
      <c r="K42" s="532"/>
      <c r="L42" s="532"/>
      <c r="M42" s="532"/>
      <c r="N42" s="532"/>
      <c r="O42" s="532"/>
      <c r="P42" s="532"/>
      <c r="Q42" s="532"/>
    </row>
    <row r="43" spans="1:21" s="128" customFormat="1" ht="115.5" customHeight="1">
      <c r="A43" s="129">
        <v>1</v>
      </c>
      <c r="B43" s="457" t="str">
        <f>$M$11</f>
        <v>MESH 100% POLY 224gsm</v>
      </c>
      <c r="C43" s="457"/>
      <c r="D43" s="190" t="s">
        <v>185</v>
      </c>
      <c r="E43" s="190" t="str">
        <f>A42</f>
        <v>PRISTINE</v>
      </c>
      <c r="F43" s="129" t="s">
        <v>38</v>
      </c>
      <c r="G43" s="191">
        <f>Q22</f>
        <v>3</v>
      </c>
      <c r="H43" s="192">
        <v>1.23</v>
      </c>
      <c r="I43" s="179">
        <f>H43*G43</f>
        <v>3.69</v>
      </c>
      <c r="J43" s="179">
        <f>I43*5.2%+((I43/30)*0.5)+2</f>
        <v>2.2533799999999999</v>
      </c>
      <c r="K43" s="205"/>
      <c r="L43" s="206">
        <v>0</v>
      </c>
      <c r="M43" s="213">
        <f>SUM(I43:L43)</f>
        <v>5.9433799999999994</v>
      </c>
      <c r="N43" s="533"/>
      <c r="O43" s="533"/>
      <c r="P43" s="533"/>
      <c r="Q43" s="533"/>
    </row>
    <row r="44" spans="1:21" s="128" customFormat="1" ht="72">
      <c r="A44" s="129">
        <v>2</v>
      </c>
      <c r="B44" s="457" t="s">
        <v>186</v>
      </c>
      <c r="C44" s="457"/>
      <c r="D44" s="190" t="s">
        <v>187</v>
      </c>
      <c r="E44" s="190" t="s">
        <v>117</v>
      </c>
      <c r="F44" s="129" t="s">
        <v>38</v>
      </c>
      <c r="G44" s="191">
        <f>G43</f>
        <v>3</v>
      </c>
      <c r="H44" s="192">
        <v>0.2</v>
      </c>
      <c r="I44" s="179">
        <f>G44*H44</f>
        <v>0.60000000000000009</v>
      </c>
      <c r="J44" s="179">
        <f>I44*2.7%+((I44/30)*0.5)</f>
        <v>2.6200000000000005E-2</v>
      </c>
      <c r="K44" s="205"/>
      <c r="L44" s="206">
        <v>1</v>
      </c>
      <c r="M44" s="213">
        <f>SUM(I44:L44)</f>
        <v>1.6262000000000001</v>
      </c>
      <c r="N44" s="533"/>
      <c r="O44" s="533"/>
      <c r="P44" s="533"/>
      <c r="Q44" s="533"/>
      <c r="U44" s="34"/>
    </row>
    <row r="45" spans="1:21" s="128" customFormat="1" ht="109.5" customHeight="1">
      <c r="A45" s="129">
        <v>3</v>
      </c>
      <c r="B45" s="457" t="s">
        <v>188</v>
      </c>
      <c r="C45" s="457"/>
      <c r="D45" s="190" t="s">
        <v>189</v>
      </c>
      <c r="E45" s="190" t="str">
        <f>A42</f>
        <v>PRISTINE</v>
      </c>
      <c r="F45" s="129" t="s">
        <v>38</v>
      </c>
      <c r="G45" s="191">
        <f>G44</f>
        <v>3</v>
      </c>
      <c r="H45" s="192">
        <v>0.2</v>
      </c>
      <c r="I45" s="179">
        <f>G45*H45</f>
        <v>0.60000000000000009</v>
      </c>
      <c r="J45" s="179">
        <f>I45*2.7%+((I45/30)*0.5)</f>
        <v>2.6200000000000005E-2</v>
      </c>
      <c r="K45" s="205"/>
      <c r="L45" s="206">
        <v>1</v>
      </c>
      <c r="M45" s="213">
        <f>SUM(I45:L45)</f>
        <v>1.6262000000000001</v>
      </c>
      <c r="N45" s="533"/>
      <c r="O45" s="533"/>
      <c r="P45" s="533"/>
      <c r="Q45" s="533"/>
      <c r="U45" s="34"/>
    </row>
    <row r="46" spans="1:21" s="34" customFormat="1" ht="32.4" hidden="1">
      <c r="A46" s="532" t="str">
        <f>D29</f>
        <v>Green / Yellow</v>
      </c>
      <c r="B46" s="532"/>
      <c r="C46" s="532"/>
      <c r="D46" s="532"/>
      <c r="E46" s="532"/>
      <c r="F46" s="532"/>
      <c r="G46" s="532"/>
      <c r="H46" s="532"/>
      <c r="I46" s="532"/>
      <c r="J46" s="532"/>
      <c r="K46" s="532"/>
      <c r="L46" s="532"/>
      <c r="M46" s="532"/>
      <c r="N46" s="532"/>
      <c r="O46" s="532"/>
      <c r="P46" s="532"/>
      <c r="Q46" s="532"/>
    </row>
    <row r="47" spans="1:21" s="128" customFormat="1" ht="108" hidden="1">
      <c r="A47" s="129">
        <v>1</v>
      </c>
      <c r="B47" s="457" t="str">
        <f>$M$11</f>
        <v>MESH 100% POLY 224gsm</v>
      </c>
      <c r="C47" s="457"/>
      <c r="D47" s="190" t="s">
        <v>190</v>
      </c>
      <c r="E47" s="190" t="s">
        <v>191</v>
      </c>
      <c r="F47" s="129" t="s">
        <v>38</v>
      </c>
      <c r="G47" s="191">
        <f>Q29</f>
        <v>0</v>
      </c>
      <c r="H47" s="192">
        <v>1.23</v>
      </c>
      <c r="I47" s="179">
        <f>H47*G47</f>
        <v>0</v>
      </c>
      <c r="J47" s="179">
        <f>I47*2.5%+((I47/30)*0.5)+1</f>
        <v>1</v>
      </c>
      <c r="K47" s="205"/>
      <c r="L47" s="206">
        <v>0</v>
      </c>
      <c r="M47" s="213">
        <f>SUM(I47:L47)</f>
        <v>1</v>
      </c>
      <c r="N47" s="533" t="s">
        <v>192</v>
      </c>
      <c r="O47" s="533"/>
      <c r="P47" s="533"/>
      <c r="Q47" s="533"/>
    </row>
    <row r="48" spans="1:21" s="128" customFormat="1" ht="72" hidden="1">
      <c r="A48" s="129">
        <v>2</v>
      </c>
      <c r="B48" s="457" t="str">
        <f>B47</f>
        <v>MESH 100% POLY 224gsm</v>
      </c>
      <c r="C48" s="457"/>
      <c r="D48" s="190" t="s">
        <v>193</v>
      </c>
      <c r="E48" s="190" t="s">
        <v>194</v>
      </c>
      <c r="F48" s="129" t="s">
        <v>38</v>
      </c>
      <c r="G48" s="191">
        <f>G47</f>
        <v>0</v>
      </c>
      <c r="H48" s="192">
        <v>0.2</v>
      </c>
      <c r="I48" s="179">
        <f>G48*H48</f>
        <v>0</v>
      </c>
      <c r="J48" s="184">
        <v>3</v>
      </c>
      <c r="K48" s="205"/>
      <c r="L48" s="206">
        <v>1</v>
      </c>
      <c r="M48" s="213">
        <f>SUM(I48:L48)</f>
        <v>4</v>
      </c>
      <c r="N48" s="533" t="s">
        <v>195</v>
      </c>
      <c r="O48" s="533"/>
      <c r="P48" s="533"/>
      <c r="Q48" s="533"/>
      <c r="U48" s="34"/>
    </row>
    <row r="49" spans="1:21" s="34" customFormat="1" ht="32.4" hidden="1">
      <c r="A49" s="532" t="str">
        <f>D36</f>
        <v>Laurel Oak / Pristine</v>
      </c>
      <c r="B49" s="532"/>
      <c r="C49" s="532"/>
      <c r="D49" s="532"/>
      <c r="E49" s="532"/>
      <c r="F49" s="532"/>
      <c r="G49" s="532"/>
      <c r="H49" s="532"/>
      <c r="I49" s="532"/>
      <c r="J49" s="532"/>
      <c r="K49" s="532"/>
      <c r="L49" s="532"/>
      <c r="M49" s="532"/>
      <c r="N49" s="532"/>
      <c r="O49" s="532"/>
      <c r="P49" s="532"/>
      <c r="Q49" s="532"/>
    </row>
    <row r="50" spans="1:21" s="128" customFormat="1" ht="108" hidden="1">
      <c r="A50" s="129">
        <v>1</v>
      </c>
      <c r="B50" s="457" t="str">
        <f>$M$11</f>
        <v>MESH 100% POLY 224gsm</v>
      </c>
      <c r="C50" s="457"/>
      <c r="D50" s="190" t="s">
        <v>190</v>
      </c>
      <c r="E50" s="190" t="s">
        <v>196</v>
      </c>
      <c r="F50" s="129" t="s">
        <v>38</v>
      </c>
      <c r="G50" s="191">
        <f>Q36</f>
        <v>0</v>
      </c>
      <c r="H50" s="192">
        <v>1.23</v>
      </c>
      <c r="I50" s="179">
        <f>H50*G50</f>
        <v>0</v>
      </c>
      <c r="J50" s="179">
        <f>I50*2.3%+((I50/30)*0.5)-2</f>
        <v>-2</v>
      </c>
      <c r="K50" s="205"/>
      <c r="L50" s="206">
        <v>0</v>
      </c>
      <c r="M50" s="213">
        <f>SUM(I50:L50)</f>
        <v>-2</v>
      </c>
      <c r="N50" s="533" t="s">
        <v>197</v>
      </c>
      <c r="O50" s="533"/>
      <c r="P50" s="533"/>
      <c r="Q50" s="533"/>
    </row>
    <row r="51" spans="1:21" s="128" customFormat="1" ht="36" hidden="1">
      <c r="A51" s="129">
        <v>2</v>
      </c>
      <c r="B51" s="457" t="str">
        <f>B50</f>
        <v>MESH 100% POLY 224gsm</v>
      </c>
      <c r="C51" s="457"/>
      <c r="D51" s="190" t="s">
        <v>193</v>
      </c>
      <c r="E51" s="190" t="s">
        <v>198</v>
      </c>
      <c r="F51" s="129" t="s">
        <v>38</v>
      </c>
      <c r="G51" s="191">
        <f>G50</f>
        <v>0</v>
      </c>
      <c r="H51" s="192">
        <v>0.2</v>
      </c>
      <c r="I51" s="179">
        <f>G51*H51</f>
        <v>0</v>
      </c>
      <c r="J51" s="179">
        <f>I51*3.9%+((I51/30)*0.5)</f>
        <v>0</v>
      </c>
      <c r="K51" s="205"/>
      <c r="L51" s="206">
        <v>1</v>
      </c>
      <c r="M51" s="213">
        <f>SUM(I51:L51)</f>
        <v>1</v>
      </c>
      <c r="N51" s="533" t="s">
        <v>199</v>
      </c>
      <c r="O51" s="533"/>
      <c r="P51" s="533"/>
      <c r="Q51" s="533"/>
      <c r="U51" s="34"/>
    </row>
    <row r="52" spans="1:21" s="26" customFormat="1" ht="50.25" customHeight="1" thickBot="1">
      <c r="B52" s="87" t="s">
        <v>73</v>
      </c>
      <c r="C52" s="27"/>
      <c r="D52" s="27"/>
      <c r="E52" s="27"/>
      <c r="F52" s="29"/>
      <c r="G52" s="28"/>
      <c r="Q52" s="29"/>
      <c r="S52" s="203"/>
      <c r="U52" s="98"/>
    </row>
    <row r="53" spans="1:21" s="40" customFormat="1" ht="72.900000000000006" customHeight="1">
      <c r="A53" s="442" t="s">
        <v>74</v>
      </c>
      <c r="B53" s="443"/>
      <c r="C53" s="443"/>
      <c r="D53" s="443"/>
      <c r="E53" s="444"/>
      <c r="F53" s="84" t="s">
        <v>75</v>
      </c>
      <c r="G53" s="84" t="s">
        <v>76</v>
      </c>
      <c r="H53" s="445" t="s">
        <v>77</v>
      </c>
      <c r="I53" s="446"/>
      <c r="J53" s="85" t="s">
        <v>57</v>
      </c>
      <c r="K53" s="84" t="s">
        <v>78</v>
      </c>
      <c r="L53" s="84" t="s">
        <v>79</v>
      </c>
      <c r="M53" s="86" t="s">
        <v>80</v>
      </c>
      <c r="N53" s="86" t="s">
        <v>81</v>
      </c>
      <c r="O53" s="86" t="s">
        <v>82</v>
      </c>
      <c r="P53" s="209" t="s">
        <v>83</v>
      </c>
      <c r="Q53" s="210"/>
      <c r="S53" s="204"/>
    </row>
    <row r="54" spans="1:21" s="15" customFormat="1" ht="64.5" customHeight="1">
      <c r="A54" s="211">
        <v>1</v>
      </c>
      <c r="B54" s="430" t="s">
        <v>84</v>
      </c>
      <c r="C54" s="430"/>
      <c r="D54" s="430"/>
      <c r="E54" s="430"/>
      <c r="F54" s="181" t="s">
        <v>200</v>
      </c>
      <c r="G54" s="212"/>
      <c r="H54" s="434" t="str">
        <f t="shared" ref="H54:I77" si="7">$D$18</f>
        <v>PRISTINE</v>
      </c>
      <c r="I54" s="433" t="str">
        <f t="shared" si="7"/>
        <v>PRISTINE</v>
      </c>
      <c r="J54" s="183" t="s">
        <v>85</v>
      </c>
      <c r="K54" s="183">
        <f>$Q$22</f>
        <v>3</v>
      </c>
      <c r="L54" s="189">
        <f>260/4500</f>
        <v>5.7777777777777775E-2</v>
      </c>
      <c r="M54" s="188">
        <f t="shared" ref="M54:M63" si="8">K54*L54</f>
        <v>0.17333333333333334</v>
      </c>
      <c r="N54" s="188"/>
      <c r="O54" s="185">
        <f t="shared" ref="O54:O63" si="9">ROUNDUP(N54+M54,0)</f>
        <v>1</v>
      </c>
      <c r="P54" s="498"/>
      <c r="Q54" s="499"/>
    </row>
    <row r="55" spans="1:21" s="15" customFormat="1" ht="64.5" hidden="1" customHeight="1">
      <c r="A55" s="211">
        <v>1</v>
      </c>
      <c r="B55" s="430" t="s">
        <v>84</v>
      </c>
      <c r="C55" s="430"/>
      <c r="D55" s="430"/>
      <c r="E55" s="430"/>
      <c r="F55" s="181" t="s">
        <v>191</v>
      </c>
      <c r="G55" s="212" t="s">
        <v>201</v>
      </c>
      <c r="H55" s="434" t="str">
        <f>$A$46</f>
        <v>Green / Yellow</v>
      </c>
      <c r="I55" s="433" t="str">
        <f t="shared" si="7"/>
        <v>PRISTINE</v>
      </c>
      <c r="J55" s="183" t="s">
        <v>85</v>
      </c>
      <c r="K55" s="183">
        <f>$Q$29</f>
        <v>0</v>
      </c>
      <c r="L55" s="189">
        <f t="shared" ref="L55:L56" si="10">260/4500</f>
        <v>5.7777777777777775E-2</v>
      </c>
      <c r="M55" s="188">
        <f t="shared" ref="M55" si="11">K55*L55</f>
        <v>0</v>
      </c>
      <c r="N55" s="188"/>
      <c r="O55" s="185">
        <f t="shared" ref="O55" si="12">ROUNDUP(N55+M55,0)</f>
        <v>0</v>
      </c>
      <c r="P55" s="500"/>
      <c r="Q55" s="501"/>
    </row>
    <row r="56" spans="1:21" s="15" customFormat="1" ht="64.5" hidden="1" customHeight="1">
      <c r="A56" s="211">
        <v>1</v>
      </c>
      <c r="B56" s="430" t="s">
        <v>84</v>
      </c>
      <c r="C56" s="430"/>
      <c r="D56" s="430"/>
      <c r="E56" s="430"/>
      <c r="F56" s="181" t="s">
        <v>196</v>
      </c>
      <c r="G56" s="212" t="s">
        <v>202</v>
      </c>
      <c r="H56" s="434" t="str">
        <f>$A$49</f>
        <v>Laurel Oak / Pristine</v>
      </c>
      <c r="I56" s="433" t="str">
        <f t="shared" si="7"/>
        <v>PRISTINE</v>
      </c>
      <c r="J56" s="183" t="s">
        <v>85</v>
      </c>
      <c r="K56" s="183">
        <f>$Q$36</f>
        <v>0</v>
      </c>
      <c r="L56" s="189">
        <f t="shared" si="10"/>
        <v>5.7777777777777775E-2</v>
      </c>
      <c r="M56" s="188">
        <f t="shared" ref="M56:M58" si="13">K56*L56</f>
        <v>0</v>
      </c>
      <c r="N56" s="188"/>
      <c r="O56" s="185">
        <f t="shared" ref="O56:O58" si="14">ROUNDUP(N56+M56,0)</f>
        <v>0</v>
      </c>
      <c r="P56" s="502"/>
      <c r="Q56" s="503"/>
    </row>
    <row r="57" spans="1:21" s="15" customFormat="1" ht="66.75" customHeight="1">
      <c r="A57" s="211">
        <v>1</v>
      </c>
      <c r="B57" s="430" t="s">
        <v>203</v>
      </c>
      <c r="C57" s="430"/>
      <c r="D57" s="430"/>
      <c r="E57" s="430"/>
      <c r="F57" s="181" t="s">
        <v>117</v>
      </c>
      <c r="G57" s="212"/>
      <c r="H57" s="434" t="str">
        <f t="shared" si="7"/>
        <v>PRISTINE</v>
      </c>
      <c r="I57" s="433" t="str">
        <f t="shared" si="7"/>
        <v>PRISTINE</v>
      </c>
      <c r="J57" s="183" t="s">
        <v>85</v>
      </c>
      <c r="K57" s="183">
        <f>$Q$22</f>
        <v>3</v>
      </c>
      <c r="L57" s="189">
        <f>135/4500</f>
        <v>0.03</v>
      </c>
      <c r="M57" s="188">
        <f t="shared" si="13"/>
        <v>0.09</v>
      </c>
      <c r="N57" s="188"/>
      <c r="O57" s="185">
        <f t="shared" si="14"/>
        <v>1</v>
      </c>
      <c r="P57" s="498"/>
      <c r="Q57" s="499"/>
    </row>
    <row r="58" spans="1:21" s="15" customFormat="1" ht="66.75" hidden="1" customHeight="1">
      <c r="A58" s="211">
        <v>1</v>
      </c>
      <c r="B58" s="430" t="s">
        <v>203</v>
      </c>
      <c r="C58" s="430"/>
      <c r="D58" s="430"/>
      <c r="E58" s="430"/>
      <c r="F58" s="181" t="s">
        <v>204</v>
      </c>
      <c r="G58" s="212" t="s">
        <v>205</v>
      </c>
      <c r="H58" s="434" t="str">
        <f>$A$46</f>
        <v>Green / Yellow</v>
      </c>
      <c r="I58" s="433" t="str">
        <f t="shared" si="7"/>
        <v>PRISTINE</v>
      </c>
      <c r="J58" s="183" t="s">
        <v>85</v>
      </c>
      <c r="K58" s="183">
        <f>$Q$29</f>
        <v>0</v>
      </c>
      <c r="L58" s="189">
        <f t="shared" ref="L58:L59" si="15">135/4500</f>
        <v>0.03</v>
      </c>
      <c r="M58" s="188">
        <f t="shared" si="13"/>
        <v>0</v>
      </c>
      <c r="N58" s="188"/>
      <c r="O58" s="185">
        <f t="shared" si="14"/>
        <v>0</v>
      </c>
      <c r="P58" s="500"/>
      <c r="Q58" s="501"/>
    </row>
    <row r="59" spans="1:21" s="15" customFormat="1" ht="66.75" hidden="1" customHeight="1">
      <c r="A59" s="211">
        <v>1</v>
      </c>
      <c r="B59" s="430" t="s">
        <v>203</v>
      </c>
      <c r="C59" s="430"/>
      <c r="D59" s="430"/>
      <c r="E59" s="430"/>
      <c r="F59" s="181" t="s">
        <v>198</v>
      </c>
      <c r="G59" s="212" t="s">
        <v>206</v>
      </c>
      <c r="H59" s="434" t="str">
        <f>$A$49</f>
        <v>Laurel Oak / Pristine</v>
      </c>
      <c r="I59" s="433" t="str">
        <f t="shared" si="7"/>
        <v>PRISTINE</v>
      </c>
      <c r="J59" s="183" t="s">
        <v>85</v>
      </c>
      <c r="K59" s="183">
        <f>$Q$36</f>
        <v>0</v>
      </c>
      <c r="L59" s="189">
        <f t="shared" si="15"/>
        <v>0.03</v>
      </c>
      <c r="M59" s="188">
        <f t="shared" ref="M59:M61" si="16">K59*L59</f>
        <v>0</v>
      </c>
      <c r="N59" s="188"/>
      <c r="O59" s="185">
        <f t="shared" ref="O59:O61" si="17">ROUNDUP(N59+M59,0)</f>
        <v>0</v>
      </c>
      <c r="P59" s="502"/>
      <c r="Q59" s="503"/>
    </row>
    <row r="60" spans="1:21" s="15" customFormat="1" ht="66.75" hidden="1" customHeight="1">
      <c r="A60" s="211">
        <v>1</v>
      </c>
      <c r="B60" s="430" t="s">
        <v>207</v>
      </c>
      <c r="C60" s="430"/>
      <c r="D60" s="430"/>
      <c r="E60" s="430"/>
      <c r="F60" s="181" t="s">
        <v>208</v>
      </c>
      <c r="G60" s="505"/>
      <c r="H60" s="434" t="str">
        <f t="shared" si="7"/>
        <v>PRISTINE</v>
      </c>
      <c r="I60" s="433" t="str">
        <f t="shared" si="7"/>
        <v>PRISTINE</v>
      </c>
      <c r="J60" s="183" t="s">
        <v>85</v>
      </c>
      <c r="K60" s="183">
        <f>$Q$22</f>
        <v>3</v>
      </c>
      <c r="L60" s="189">
        <f>10/4500</f>
        <v>2.2222222222222222E-3</v>
      </c>
      <c r="M60" s="188">
        <f t="shared" si="16"/>
        <v>6.6666666666666662E-3</v>
      </c>
      <c r="N60" s="188"/>
      <c r="O60" s="185">
        <f t="shared" si="17"/>
        <v>1</v>
      </c>
      <c r="P60" s="498"/>
      <c r="Q60" s="499"/>
    </row>
    <row r="61" spans="1:21" s="15" customFormat="1" ht="66.75" hidden="1" customHeight="1">
      <c r="A61" s="211">
        <v>1</v>
      </c>
      <c r="B61" s="430" t="s">
        <v>207</v>
      </c>
      <c r="C61" s="430"/>
      <c r="D61" s="430"/>
      <c r="E61" s="430"/>
      <c r="F61" s="181" t="s">
        <v>208</v>
      </c>
      <c r="G61" s="506"/>
      <c r="H61" s="434" t="str">
        <f>$A$46</f>
        <v>Green / Yellow</v>
      </c>
      <c r="I61" s="433" t="str">
        <f t="shared" si="7"/>
        <v>PRISTINE</v>
      </c>
      <c r="J61" s="183" t="s">
        <v>85</v>
      </c>
      <c r="K61" s="183">
        <f>$Q$29</f>
        <v>0</v>
      </c>
      <c r="L61" s="189">
        <f t="shared" ref="L61:L62" si="18">10/4500</f>
        <v>2.2222222222222222E-3</v>
      </c>
      <c r="M61" s="188">
        <f t="shared" si="16"/>
        <v>0</v>
      </c>
      <c r="N61" s="188"/>
      <c r="O61" s="185">
        <f t="shared" si="17"/>
        <v>0</v>
      </c>
      <c r="P61" s="500"/>
      <c r="Q61" s="501"/>
    </row>
    <row r="62" spans="1:21" s="15" customFormat="1" ht="66.75" hidden="1" customHeight="1">
      <c r="A62" s="211">
        <v>1</v>
      </c>
      <c r="B62" s="430" t="s">
        <v>207</v>
      </c>
      <c r="C62" s="430"/>
      <c r="D62" s="430"/>
      <c r="E62" s="430"/>
      <c r="F62" s="181" t="s">
        <v>176</v>
      </c>
      <c r="G62" s="212" t="s">
        <v>209</v>
      </c>
      <c r="H62" s="434" t="str">
        <f>$A$49</f>
        <v>Laurel Oak / Pristine</v>
      </c>
      <c r="I62" s="433" t="str">
        <f t="shared" si="7"/>
        <v>PRISTINE</v>
      </c>
      <c r="J62" s="183" t="s">
        <v>85</v>
      </c>
      <c r="K62" s="183">
        <f>$Q$36</f>
        <v>0</v>
      </c>
      <c r="L62" s="189">
        <f t="shared" si="18"/>
        <v>2.2222222222222222E-3</v>
      </c>
      <c r="M62" s="188">
        <f t="shared" ref="M62" si="19">K62*L62</f>
        <v>0</v>
      </c>
      <c r="N62" s="188"/>
      <c r="O62" s="185">
        <f t="shared" ref="O62" si="20">ROUNDUP(N62+M62,0)</f>
        <v>0</v>
      </c>
      <c r="P62" s="502"/>
      <c r="Q62" s="503"/>
    </row>
    <row r="63" spans="1:21" s="15" customFormat="1" ht="64.5" customHeight="1">
      <c r="A63" s="211">
        <v>2</v>
      </c>
      <c r="B63" s="430" t="s">
        <v>210</v>
      </c>
      <c r="C63" s="430"/>
      <c r="D63" s="430"/>
      <c r="E63" s="430"/>
      <c r="F63" s="181" t="s">
        <v>117</v>
      </c>
      <c r="G63" s="212"/>
      <c r="H63" s="434" t="str">
        <f t="shared" si="7"/>
        <v>PRISTINE</v>
      </c>
      <c r="I63" s="433" t="str">
        <f t="shared" si="7"/>
        <v>PRISTINE</v>
      </c>
      <c r="J63" s="183" t="s">
        <v>92</v>
      </c>
      <c r="K63" s="183">
        <f>$Q$22</f>
        <v>3</v>
      </c>
      <c r="L63" s="189">
        <v>1</v>
      </c>
      <c r="M63" s="188">
        <f t="shared" si="8"/>
        <v>3</v>
      </c>
      <c r="N63" s="188"/>
      <c r="O63" s="185">
        <f t="shared" si="9"/>
        <v>3</v>
      </c>
      <c r="P63" s="498"/>
      <c r="Q63" s="499"/>
    </row>
    <row r="64" spans="1:21" s="15" customFormat="1" ht="64.5" hidden="1" customHeight="1">
      <c r="A64" s="211">
        <v>2</v>
      </c>
      <c r="B64" s="430" t="s">
        <v>210</v>
      </c>
      <c r="C64" s="430"/>
      <c r="D64" s="430"/>
      <c r="E64" s="430"/>
      <c r="F64" s="181" t="s">
        <v>117</v>
      </c>
      <c r="G64" s="212"/>
      <c r="H64" s="434" t="str">
        <f>$A$46</f>
        <v>Green / Yellow</v>
      </c>
      <c r="I64" s="433" t="str">
        <f t="shared" si="7"/>
        <v>PRISTINE</v>
      </c>
      <c r="J64" s="183" t="s">
        <v>92</v>
      </c>
      <c r="K64" s="183">
        <f>$Q$29</f>
        <v>0</v>
      </c>
      <c r="L64" s="189">
        <v>1</v>
      </c>
      <c r="M64" s="188">
        <f t="shared" ref="M64:M65" si="21">K64*L64</f>
        <v>0</v>
      </c>
      <c r="N64" s="188"/>
      <c r="O64" s="185">
        <f t="shared" ref="O64:O65" si="22">ROUNDUP(N64+M64,0)</f>
        <v>0</v>
      </c>
      <c r="P64" s="500"/>
      <c r="Q64" s="501"/>
    </row>
    <row r="65" spans="1:17" s="15" customFormat="1" ht="64.5" hidden="1" customHeight="1">
      <c r="A65" s="211">
        <v>2</v>
      </c>
      <c r="B65" s="430" t="s">
        <v>210</v>
      </c>
      <c r="C65" s="430"/>
      <c r="D65" s="430"/>
      <c r="E65" s="430"/>
      <c r="F65" s="181" t="s">
        <v>117</v>
      </c>
      <c r="G65" s="212"/>
      <c r="H65" s="434" t="str">
        <f>$A$49</f>
        <v>Laurel Oak / Pristine</v>
      </c>
      <c r="I65" s="433" t="str">
        <f t="shared" si="7"/>
        <v>PRISTINE</v>
      </c>
      <c r="J65" s="183" t="s">
        <v>92</v>
      </c>
      <c r="K65" s="183">
        <f>$Q$36</f>
        <v>0</v>
      </c>
      <c r="L65" s="189">
        <v>1</v>
      </c>
      <c r="M65" s="188">
        <f t="shared" si="21"/>
        <v>0</v>
      </c>
      <c r="N65" s="188"/>
      <c r="O65" s="185">
        <f t="shared" si="22"/>
        <v>0</v>
      </c>
      <c r="P65" s="502"/>
      <c r="Q65" s="503"/>
    </row>
    <row r="66" spans="1:17" s="15" customFormat="1" ht="64.5" customHeight="1">
      <c r="A66" s="211">
        <v>3</v>
      </c>
      <c r="B66" s="430" t="s">
        <v>211</v>
      </c>
      <c r="C66" s="430"/>
      <c r="D66" s="430"/>
      <c r="E66" s="430"/>
      <c r="F66" s="181" t="s">
        <v>117</v>
      </c>
      <c r="G66" s="212"/>
      <c r="H66" s="434" t="str">
        <f t="shared" si="7"/>
        <v>PRISTINE</v>
      </c>
      <c r="I66" s="433" t="str">
        <f t="shared" si="7"/>
        <v>PRISTINE</v>
      </c>
      <c r="J66" s="183" t="s">
        <v>92</v>
      </c>
      <c r="K66" s="183">
        <f>$Q$22</f>
        <v>3</v>
      </c>
      <c r="L66" s="189">
        <v>1</v>
      </c>
      <c r="M66" s="188">
        <f t="shared" ref="M66" si="23">K66*L66</f>
        <v>3</v>
      </c>
      <c r="N66" s="188"/>
      <c r="O66" s="185">
        <f t="shared" ref="O66" si="24">ROUNDUP(N66+M66,0)</f>
        <v>3</v>
      </c>
      <c r="P66" s="498"/>
      <c r="Q66" s="499"/>
    </row>
    <row r="67" spans="1:17" s="15" customFormat="1" ht="64.5" hidden="1" customHeight="1">
      <c r="A67" s="211">
        <v>3</v>
      </c>
      <c r="B67" s="430" t="str">
        <f>B66</f>
        <v>NHÃN THÀNH PHẦN 100% POLY ALD-COO-301</v>
      </c>
      <c r="C67" s="430"/>
      <c r="D67" s="430"/>
      <c r="E67" s="430"/>
      <c r="F67" s="181" t="s">
        <v>117</v>
      </c>
      <c r="G67" s="212"/>
      <c r="H67" s="434" t="str">
        <f>$A$46</f>
        <v>Green / Yellow</v>
      </c>
      <c r="I67" s="433" t="str">
        <f t="shared" si="7"/>
        <v>PRISTINE</v>
      </c>
      <c r="J67" s="183" t="s">
        <v>92</v>
      </c>
      <c r="K67" s="183">
        <f>$Q$29</f>
        <v>0</v>
      </c>
      <c r="L67" s="189">
        <v>1</v>
      </c>
      <c r="M67" s="188">
        <f t="shared" ref="M67:M68" si="25">K67*L67</f>
        <v>0</v>
      </c>
      <c r="N67" s="188"/>
      <c r="O67" s="185">
        <f t="shared" ref="O67:O68" si="26">ROUNDUP(N67+M67,0)</f>
        <v>0</v>
      </c>
      <c r="P67" s="500"/>
      <c r="Q67" s="501"/>
    </row>
    <row r="68" spans="1:17" s="15" customFormat="1" ht="64.5" hidden="1" customHeight="1">
      <c r="A68" s="211">
        <v>3</v>
      </c>
      <c r="B68" s="430" t="str">
        <f>B67</f>
        <v>NHÃN THÀNH PHẦN 100% POLY ALD-COO-301</v>
      </c>
      <c r="C68" s="430"/>
      <c r="D68" s="430"/>
      <c r="E68" s="430"/>
      <c r="F68" s="181" t="s">
        <v>117</v>
      </c>
      <c r="G68" s="212"/>
      <c r="H68" s="434" t="str">
        <f>$A$49</f>
        <v>Laurel Oak / Pristine</v>
      </c>
      <c r="I68" s="433" t="str">
        <f t="shared" si="7"/>
        <v>PRISTINE</v>
      </c>
      <c r="J68" s="183" t="s">
        <v>92</v>
      </c>
      <c r="K68" s="183">
        <f>$Q$36</f>
        <v>0</v>
      </c>
      <c r="L68" s="189">
        <v>1</v>
      </c>
      <c r="M68" s="188">
        <f t="shared" si="25"/>
        <v>0</v>
      </c>
      <c r="N68" s="188"/>
      <c r="O68" s="185">
        <f t="shared" si="26"/>
        <v>0</v>
      </c>
      <c r="P68" s="502"/>
      <c r="Q68" s="503"/>
    </row>
    <row r="69" spans="1:17" s="15" customFormat="1" ht="64.5" customHeight="1">
      <c r="A69" s="211">
        <v>4</v>
      </c>
      <c r="B69" s="430" t="s">
        <v>212</v>
      </c>
      <c r="C69" s="430"/>
      <c r="D69" s="430"/>
      <c r="E69" s="430"/>
      <c r="F69" s="181" t="s">
        <v>208</v>
      </c>
      <c r="G69" s="212"/>
      <c r="H69" s="434" t="str">
        <f t="shared" si="7"/>
        <v>PRISTINE</v>
      </c>
      <c r="I69" s="433" t="str">
        <f t="shared" si="7"/>
        <v>PRISTINE</v>
      </c>
      <c r="J69" s="183" t="s">
        <v>38</v>
      </c>
      <c r="K69" s="183">
        <f>$Q$22</f>
        <v>3</v>
      </c>
      <c r="L69" s="189">
        <v>1.85</v>
      </c>
      <c r="M69" s="188">
        <f t="shared" ref="M69" si="27">L69*K69</f>
        <v>5.5500000000000007</v>
      </c>
      <c r="N69" s="188"/>
      <c r="O69" s="185">
        <f t="shared" ref="O69" si="28">ROUNDUP(N69+M69,0)</f>
        <v>6</v>
      </c>
      <c r="P69" s="492" t="s">
        <v>213</v>
      </c>
      <c r="Q69" s="493"/>
    </row>
    <row r="70" spans="1:17" s="15" customFormat="1" ht="64.5" hidden="1" customHeight="1">
      <c r="A70" s="211">
        <v>4</v>
      </c>
      <c r="B70" s="430" t="str">
        <f>B69</f>
        <v>DÂY PIPING</v>
      </c>
      <c r="C70" s="430"/>
      <c r="D70" s="430"/>
      <c r="E70" s="430"/>
      <c r="F70" s="181" t="s">
        <v>208</v>
      </c>
      <c r="G70" s="212"/>
      <c r="H70" s="434" t="str">
        <f>$A$46</f>
        <v>Green / Yellow</v>
      </c>
      <c r="I70" s="433" t="str">
        <f t="shared" si="7"/>
        <v>PRISTINE</v>
      </c>
      <c r="J70" s="183" t="s">
        <v>38</v>
      </c>
      <c r="K70" s="183">
        <f>$Q$29</f>
        <v>0</v>
      </c>
      <c r="L70" s="189">
        <v>1.85</v>
      </c>
      <c r="M70" s="188">
        <f t="shared" ref="M70:M71" si="29">L70*K70</f>
        <v>0</v>
      </c>
      <c r="N70" s="188"/>
      <c r="O70" s="185">
        <f t="shared" ref="O70:O71" si="30">ROUNDUP(N70+M70,0)</f>
        <v>0</v>
      </c>
      <c r="P70" s="494"/>
      <c r="Q70" s="495"/>
    </row>
    <row r="71" spans="1:17" s="15" customFormat="1" ht="64.5" hidden="1" customHeight="1">
      <c r="A71" s="211">
        <v>4</v>
      </c>
      <c r="B71" s="430" t="str">
        <f>B70</f>
        <v>DÂY PIPING</v>
      </c>
      <c r="C71" s="430"/>
      <c r="D71" s="430"/>
      <c r="E71" s="430"/>
      <c r="F71" s="181" t="s">
        <v>176</v>
      </c>
      <c r="G71" s="212"/>
      <c r="H71" s="434" t="str">
        <f>$A$49</f>
        <v>Laurel Oak / Pristine</v>
      </c>
      <c r="I71" s="433" t="str">
        <f t="shared" si="7"/>
        <v>PRISTINE</v>
      </c>
      <c r="J71" s="183" t="s">
        <v>38</v>
      </c>
      <c r="K71" s="183">
        <f>$Q$36</f>
        <v>0</v>
      </c>
      <c r="L71" s="189">
        <v>1.85</v>
      </c>
      <c r="M71" s="188">
        <f t="shared" si="29"/>
        <v>0</v>
      </c>
      <c r="N71" s="188"/>
      <c r="O71" s="185">
        <f t="shared" si="30"/>
        <v>0</v>
      </c>
      <c r="P71" s="496"/>
      <c r="Q71" s="497"/>
    </row>
    <row r="72" spans="1:17" s="15" customFormat="1" ht="64.5" customHeight="1">
      <c r="A72" s="211">
        <v>5</v>
      </c>
      <c r="B72" s="430" t="s">
        <v>214</v>
      </c>
      <c r="C72" s="430"/>
      <c r="D72" s="430"/>
      <c r="E72" s="430"/>
      <c r="F72" s="436" t="s">
        <v>215</v>
      </c>
      <c r="G72" s="212"/>
      <c r="H72" s="434" t="str">
        <f t="shared" si="7"/>
        <v>PRISTINE</v>
      </c>
      <c r="I72" s="433" t="str">
        <f t="shared" si="7"/>
        <v>PRISTINE</v>
      </c>
      <c r="J72" s="183" t="s">
        <v>92</v>
      </c>
      <c r="K72" s="183">
        <f>$Q$22</f>
        <v>3</v>
      </c>
      <c r="L72" s="189">
        <v>1</v>
      </c>
      <c r="M72" s="188">
        <f>L72*K72</f>
        <v>3</v>
      </c>
      <c r="N72" s="188"/>
      <c r="O72" s="185">
        <f t="shared" ref="O72" si="31">ROUNDUP(N72+M72,0)</f>
        <v>3</v>
      </c>
      <c r="P72" s="492" t="s">
        <v>216</v>
      </c>
      <c r="Q72" s="493"/>
    </row>
    <row r="73" spans="1:17" s="15" customFormat="1" ht="64.5" hidden="1" customHeight="1">
      <c r="A73" s="211">
        <v>5</v>
      </c>
      <c r="B73" s="430" t="str">
        <f>B72</f>
        <v xml:space="preserve">DÂY LUỒN TRÒN COTTON 5MM GÚT ĐẦU </v>
      </c>
      <c r="C73" s="430"/>
      <c r="D73" s="430"/>
      <c r="E73" s="430"/>
      <c r="F73" s="437"/>
      <c r="G73" s="212"/>
      <c r="H73" s="434" t="str">
        <f>$A$46</f>
        <v>Green / Yellow</v>
      </c>
      <c r="I73" s="433" t="str">
        <f t="shared" si="7"/>
        <v>PRISTINE</v>
      </c>
      <c r="J73" s="183" t="s">
        <v>92</v>
      </c>
      <c r="K73" s="183">
        <f>$Q$29</f>
        <v>0</v>
      </c>
      <c r="L73" s="189">
        <v>1</v>
      </c>
      <c r="M73" s="188">
        <f t="shared" ref="M73:M77" si="32">L73*K73</f>
        <v>0</v>
      </c>
      <c r="N73" s="188"/>
      <c r="O73" s="185">
        <f t="shared" ref="O73:O77" si="33">ROUNDUP(N73+M73,0)</f>
        <v>0</v>
      </c>
      <c r="P73" s="494"/>
      <c r="Q73" s="495"/>
    </row>
    <row r="74" spans="1:17" s="15" customFormat="1" ht="64.5" hidden="1" customHeight="1">
      <c r="A74" s="211">
        <v>5</v>
      </c>
      <c r="B74" s="430" t="str">
        <f>B73</f>
        <v xml:space="preserve">DÂY LUỒN TRÒN COTTON 5MM GÚT ĐẦU </v>
      </c>
      <c r="C74" s="430"/>
      <c r="D74" s="430"/>
      <c r="E74" s="430"/>
      <c r="F74" s="438"/>
      <c r="G74" s="212"/>
      <c r="H74" s="434" t="str">
        <f>$A$49</f>
        <v>Laurel Oak / Pristine</v>
      </c>
      <c r="I74" s="433" t="str">
        <f t="shared" si="7"/>
        <v>PRISTINE</v>
      </c>
      <c r="J74" s="183" t="s">
        <v>92</v>
      </c>
      <c r="K74" s="183">
        <f>$Q$36</f>
        <v>0</v>
      </c>
      <c r="L74" s="189">
        <v>1</v>
      </c>
      <c r="M74" s="188">
        <f t="shared" ref="M74" si="34">L74*K74</f>
        <v>0</v>
      </c>
      <c r="N74" s="188"/>
      <c r="O74" s="185">
        <f t="shared" ref="O74" si="35">ROUNDUP(N74+M74,0)</f>
        <v>0</v>
      </c>
      <c r="P74" s="496"/>
      <c r="Q74" s="497"/>
    </row>
    <row r="75" spans="1:17" s="15" customFormat="1" ht="64.5" customHeight="1">
      <c r="A75" s="211">
        <v>6</v>
      </c>
      <c r="B75" s="430" t="s">
        <v>217</v>
      </c>
      <c r="C75" s="430"/>
      <c r="D75" s="430"/>
      <c r="E75" s="430"/>
      <c r="F75" s="181" t="s">
        <v>44</v>
      </c>
      <c r="G75" s="212"/>
      <c r="H75" s="434" t="str">
        <f t="shared" si="7"/>
        <v>PRISTINE</v>
      </c>
      <c r="I75" s="433" t="str">
        <f t="shared" si="7"/>
        <v>PRISTINE</v>
      </c>
      <c r="J75" s="183" t="s">
        <v>38</v>
      </c>
      <c r="K75" s="183">
        <f>$Q$22</f>
        <v>3</v>
      </c>
      <c r="L75" s="189">
        <v>1.1000000000000001</v>
      </c>
      <c r="M75" s="188">
        <f t="shared" si="32"/>
        <v>3.3000000000000003</v>
      </c>
      <c r="N75" s="188"/>
      <c r="O75" s="185">
        <f t="shared" si="33"/>
        <v>4</v>
      </c>
      <c r="P75" s="498"/>
      <c r="Q75" s="499"/>
    </row>
    <row r="76" spans="1:17" s="15" customFormat="1" ht="64.5" hidden="1" customHeight="1">
      <c r="A76" s="211">
        <v>6</v>
      </c>
      <c r="B76" s="430" t="s">
        <v>217</v>
      </c>
      <c r="C76" s="430"/>
      <c r="D76" s="430"/>
      <c r="E76" s="430"/>
      <c r="F76" s="181" t="s">
        <v>117</v>
      </c>
      <c r="G76" s="212"/>
      <c r="H76" s="434" t="str">
        <f>$A$46</f>
        <v>Green / Yellow</v>
      </c>
      <c r="I76" s="433" t="str">
        <f t="shared" si="7"/>
        <v>PRISTINE</v>
      </c>
      <c r="J76" s="183" t="s">
        <v>38</v>
      </c>
      <c r="K76" s="183">
        <f>$Q$29</f>
        <v>0</v>
      </c>
      <c r="L76" s="189">
        <v>1.1000000000000001</v>
      </c>
      <c r="M76" s="188">
        <f t="shared" si="32"/>
        <v>0</v>
      </c>
      <c r="N76" s="188"/>
      <c r="O76" s="185">
        <f t="shared" si="33"/>
        <v>0</v>
      </c>
      <c r="P76" s="500"/>
      <c r="Q76" s="501"/>
    </row>
    <row r="77" spans="1:17" s="15" customFormat="1" ht="64.5" hidden="1" customHeight="1">
      <c r="A77" s="211">
        <v>6</v>
      </c>
      <c r="B77" s="430" t="s">
        <v>217</v>
      </c>
      <c r="C77" s="430"/>
      <c r="D77" s="430"/>
      <c r="E77" s="430"/>
      <c r="F77" s="181" t="s">
        <v>117</v>
      </c>
      <c r="G77" s="212"/>
      <c r="H77" s="434" t="str">
        <f>$A$49</f>
        <v>Laurel Oak / Pristine</v>
      </c>
      <c r="I77" s="433" t="str">
        <f t="shared" si="7"/>
        <v>PRISTINE</v>
      </c>
      <c r="J77" s="183" t="s">
        <v>38</v>
      </c>
      <c r="K77" s="183">
        <f>$Q$36</f>
        <v>0</v>
      </c>
      <c r="L77" s="189">
        <v>1.1000000000000001</v>
      </c>
      <c r="M77" s="188">
        <f t="shared" si="32"/>
        <v>0</v>
      </c>
      <c r="N77" s="188"/>
      <c r="O77" s="185">
        <f t="shared" si="33"/>
        <v>0</v>
      </c>
      <c r="P77" s="502"/>
      <c r="Q77" s="503"/>
    </row>
    <row r="78" spans="1:17" s="26" customFormat="1" ht="32.4" hidden="1">
      <c r="B78" s="91" t="s">
        <v>101</v>
      </c>
      <c r="C78" s="27"/>
      <c r="D78" s="27"/>
      <c r="E78" s="27"/>
      <c r="F78" s="29"/>
      <c r="G78" s="28"/>
      <c r="Q78" s="29"/>
    </row>
    <row r="79" spans="1:17" s="40" customFormat="1" ht="72" hidden="1">
      <c r="A79" s="442" t="s">
        <v>74</v>
      </c>
      <c r="B79" s="443"/>
      <c r="C79" s="443"/>
      <c r="D79" s="443"/>
      <c r="E79" s="444"/>
      <c r="F79" s="84" t="s">
        <v>75</v>
      </c>
      <c r="G79" s="84" t="s">
        <v>76</v>
      </c>
      <c r="H79" s="445" t="s">
        <v>77</v>
      </c>
      <c r="I79" s="446"/>
      <c r="J79" s="85" t="s">
        <v>57</v>
      </c>
      <c r="K79" s="84" t="s">
        <v>78</v>
      </c>
      <c r="L79" s="84" t="s">
        <v>79</v>
      </c>
      <c r="M79" s="86" t="s">
        <v>80</v>
      </c>
      <c r="N79" s="86" t="s">
        <v>81</v>
      </c>
      <c r="O79" s="86" t="s">
        <v>82</v>
      </c>
      <c r="P79" s="86" t="s">
        <v>83</v>
      </c>
    </row>
    <row r="80" spans="1:17" s="289" customFormat="1" ht="32.4" hidden="1">
      <c r="A80" s="300">
        <v>1</v>
      </c>
      <c r="B80" s="429" t="s">
        <v>218</v>
      </c>
      <c r="C80" s="430"/>
      <c r="D80" s="430"/>
      <c r="E80" s="430"/>
      <c r="F80" s="301" t="s">
        <v>117</v>
      </c>
      <c r="G80" s="302"/>
      <c r="H80" s="434" t="s">
        <v>219</v>
      </c>
      <c r="I80" s="433"/>
      <c r="J80" s="303" t="s">
        <v>92</v>
      </c>
      <c r="K80" s="183">
        <f>$Q$22</f>
        <v>3</v>
      </c>
      <c r="L80" s="189">
        <v>1</v>
      </c>
      <c r="M80" s="304">
        <f t="shared" ref="M80:M97" si="36">L80*K80</f>
        <v>3</v>
      </c>
      <c r="N80" s="188"/>
      <c r="O80" s="185">
        <f>ROUNDUP(N80+M80,0)</f>
        <v>3</v>
      </c>
      <c r="P80" s="305"/>
      <c r="Q80" s="288"/>
    </row>
    <row r="81" spans="1:17" s="289" customFormat="1" ht="32.4" hidden="1">
      <c r="A81" s="300">
        <f>A80</f>
        <v>1</v>
      </c>
      <c r="B81" s="429" t="str">
        <f>B80</f>
        <v>UPC STICKER 3" X 2"</v>
      </c>
      <c r="C81" s="430"/>
      <c r="D81" s="430"/>
      <c r="E81" s="430"/>
      <c r="F81" s="301" t="str">
        <f>F80</f>
        <v>WHITE</v>
      </c>
      <c r="G81" s="302"/>
      <c r="H81" s="434" t="s">
        <v>220</v>
      </c>
      <c r="I81" s="433"/>
      <c r="J81" s="303" t="str">
        <f>J80</f>
        <v xml:space="preserve">PCS </v>
      </c>
      <c r="K81" s="183">
        <f>$Q$29</f>
        <v>0</v>
      </c>
      <c r="L81" s="189">
        <f>L80</f>
        <v>1</v>
      </c>
      <c r="M81" s="304">
        <f>L81*K81</f>
        <v>0</v>
      </c>
      <c r="N81" s="188"/>
      <c r="O81" s="185">
        <f>ROUNDUP(N81+M81,0)</f>
        <v>0</v>
      </c>
      <c r="P81" s="305"/>
      <c r="Q81" s="288"/>
    </row>
    <row r="82" spans="1:17" s="289" customFormat="1" ht="32.4" hidden="1">
      <c r="A82" s="300">
        <f>A81</f>
        <v>1</v>
      </c>
      <c r="B82" s="429" t="str">
        <f>B81</f>
        <v>UPC STICKER 3" X 2"</v>
      </c>
      <c r="C82" s="430"/>
      <c r="D82" s="430"/>
      <c r="E82" s="430"/>
      <c r="F82" s="301" t="str">
        <f>F81</f>
        <v>WHITE</v>
      </c>
      <c r="G82" s="302"/>
      <c r="H82" s="434" t="s">
        <v>221</v>
      </c>
      <c r="I82" s="433"/>
      <c r="J82" s="303" t="str">
        <f>J81</f>
        <v xml:space="preserve">PCS </v>
      </c>
      <c r="K82" s="183">
        <f>$Q$36</f>
        <v>0</v>
      </c>
      <c r="L82" s="189">
        <f>L81</f>
        <v>1</v>
      </c>
      <c r="M82" s="304">
        <f>L82*K82</f>
        <v>0</v>
      </c>
      <c r="N82" s="188"/>
      <c r="O82" s="185">
        <f>ROUNDUP(N82+M82,0)</f>
        <v>0</v>
      </c>
      <c r="P82" s="305"/>
      <c r="Q82" s="288"/>
    </row>
    <row r="83" spans="1:17" s="289" customFormat="1" ht="32.4" hidden="1">
      <c r="A83" s="300">
        <v>3</v>
      </c>
      <c r="B83" s="429" t="s">
        <v>222</v>
      </c>
      <c r="C83" s="430"/>
      <c r="D83" s="430"/>
      <c r="E83" s="430"/>
      <c r="F83" s="301" t="s">
        <v>117</v>
      </c>
      <c r="G83" s="302"/>
      <c r="H83" s="434" t="s">
        <v>219</v>
      </c>
      <c r="I83" s="433"/>
      <c r="J83" s="303" t="s">
        <v>92</v>
      </c>
      <c r="K83" s="183">
        <f>$Q$22</f>
        <v>3</v>
      </c>
      <c r="L83" s="189">
        <v>1</v>
      </c>
      <c r="M83" s="304">
        <f t="shared" si="36"/>
        <v>3</v>
      </c>
      <c r="N83" s="188"/>
      <c r="O83" s="185">
        <f t="shared" ref="O83:O97" si="37">ROUNDUP(N83+M83,0)</f>
        <v>3</v>
      </c>
      <c r="P83" s="305"/>
      <c r="Q83" s="288"/>
    </row>
    <row r="84" spans="1:17" s="289" customFormat="1" ht="32.4" hidden="1">
      <c r="A84" s="300">
        <f>A83</f>
        <v>3</v>
      </c>
      <c r="B84" s="429" t="str">
        <f>B83</f>
        <v>THẺ BÀI ALD ALD-T06P</v>
      </c>
      <c r="C84" s="430"/>
      <c r="D84" s="430"/>
      <c r="E84" s="430"/>
      <c r="F84" s="301" t="str">
        <f>F83</f>
        <v>WHITE</v>
      </c>
      <c r="G84" s="302"/>
      <c r="H84" s="434" t="s">
        <v>220</v>
      </c>
      <c r="I84" s="433"/>
      <c r="J84" s="303" t="str">
        <f t="shared" ref="J84:J85" si="38">J83</f>
        <v xml:space="preserve">PCS </v>
      </c>
      <c r="K84" s="183">
        <f>$Q$29</f>
        <v>0</v>
      </c>
      <c r="L84" s="189">
        <f t="shared" ref="L84:L85" si="39">L83</f>
        <v>1</v>
      </c>
      <c r="M84" s="304">
        <f t="shared" si="36"/>
        <v>0</v>
      </c>
      <c r="N84" s="188"/>
      <c r="O84" s="185">
        <f t="shared" si="37"/>
        <v>0</v>
      </c>
      <c r="P84" s="305"/>
      <c r="Q84" s="288"/>
    </row>
    <row r="85" spans="1:17" s="289" customFormat="1" ht="32.4" hidden="1">
      <c r="A85" s="300">
        <f>A84</f>
        <v>3</v>
      </c>
      <c r="B85" s="429" t="str">
        <f>B84</f>
        <v>THẺ BÀI ALD ALD-T06P</v>
      </c>
      <c r="C85" s="430"/>
      <c r="D85" s="430"/>
      <c r="E85" s="430"/>
      <c r="F85" s="301" t="str">
        <f>F84</f>
        <v>WHITE</v>
      </c>
      <c r="G85" s="302"/>
      <c r="H85" s="434" t="s">
        <v>221</v>
      </c>
      <c r="I85" s="433"/>
      <c r="J85" s="303" t="str">
        <f t="shared" si="38"/>
        <v xml:space="preserve">PCS </v>
      </c>
      <c r="K85" s="183">
        <f>$Q$36</f>
        <v>0</v>
      </c>
      <c r="L85" s="189">
        <f t="shared" si="39"/>
        <v>1</v>
      </c>
      <c r="M85" s="304">
        <f t="shared" si="36"/>
        <v>0</v>
      </c>
      <c r="N85" s="188"/>
      <c r="O85" s="185">
        <f t="shared" si="37"/>
        <v>0</v>
      </c>
      <c r="P85" s="305"/>
      <c r="Q85" s="288"/>
    </row>
    <row r="86" spans="1:17" s="289" customFormat="1" ht="32.4" hidden="1">
      <c r="A86" s="300">
        <v>4</v>
      </c>
      <c r="B86" s="429" t="s">
        <v>223</v>
      </c>
      <c r="C86" s="430"/>
      <c r="D86" s="430"/>
      <c r="E86" s="430"/>
      <c r="F86" s="301" t="s">
        <v>111</v>
      </c>
      <c r="G86" s="302"/>
      <c r="H86" s="434" t="s">
        <v>219</v>
      </c>
      <c r="I86" s="433"/>
      <c r="J86" s="303" t="s">
        <v>92</v>
      </c>
      <c r="K86" s="183">
        <f>$Q$22</f>
        <v>3</v>
      </c>
      <c r="L86" s="189">
        <v>1</v>
      </c>
      <c r="M86" s="304">
        <f t="shared" si="36"/>
        <v>3</v>
      </c>
      <c r="N86" s="188"/>
      <c r="O86" s="185">
        <f t="shared" si="37"/>
        <v>3</v>
      </c>
      <c r="P86" s="305"/>
      <c r="Q86" s="288"/>
    </row>
    <row r="87" spans="1:17" s="289" customFormat="1" ht="32.4" hidden="1">
      <c r="A87" s="300">
        <f>A86</f>
        <v>4</v>
      </c>
      <c r="B87" s="429" t="str">
        <f>B86</f>
        <v>BAO POLYBAG - 15" X 18" CODE: ALD PB02-R</v>
      </c>
      <c r="C87" s="430"/>
      <c r="D87" s="430"/>
      <c r="E87" s="430"/>
      <c r="F87" s="301" t="str">
        <f>F86</f>
        <v>CLEAR</v>
      </c>
      <c r="G87" s="302"/>
      <c r="H87" s="434" t="s">
        <v>220</v>
      </c>
      <c r="I87" s="433"/>
      <c r="J87" s="303" t="str">
        <f t="shared" ref="J87:J88" si="40">J86</f>
        <v xml:space="preserve">PCS </v>
      </c>
      <c r="K87" s="183">
        <f>$Q$29</f>
        <v>0</v>
      </c>
      <c r="L87" s="189">
        <f t="shared" ref="L87:L88" si="41">L86</f>
        <v>1</v>
      </c>
      <c r="M87" s="304">
        <f t="shared" si="36"/>
        <v>0</v>
      </c>
      <c r="N87" s="188"/>
      <c r="O87" s="185">
        <f t="shared" si="37"/>
        <v>0</v>
      </c>
      <c r="P87" s="305"/>
      <c r="Q87" s="288"/>
    </row>
    <row r="88" spans="1:17" s="289" customFormat="1" ht="32.4" hidden="1">
      <c r="A88" s="300">
        <f>A87</f>
        <v>4</v>
      </c>
      <c r="B88" s="429" t="str">
        <f>B87</f>
        <v>BAO POLYBAG - 15" X 18" CODE: ALD PB02-R</v>
      </c>
      <c r="C88" s="430"/>
      <c r="D88" s="430"/>
      <c r="E88" s="430"/>
      <c r="F88" s="301" t="str">
        <f>F87</f>
        <v>CLEAR</v>
      </c>
      <c r="G88" s="302"/>
      <c r="H88" s="434" t="s">
        <v>221</v>
      </c>
      <c r="I88" s="433"/>
      <c r="J88" s="303" t="str">
        <f t="shared" si="40"/>
        <v xml:space="preserve">PCS </v>
      </c>
      <c r="K88" s="183">
        <f>$Q$36</f>
        <v>0</v>
      </c>
      <c r="L88" s="189">
        <f t="shared" si="41"/>
        <v>1</v>
      </c>
      <c r="M88" s="304">
        <f t="shared" si="36"/>
        <v>0</v>
      </c>
      <c r="N88" s="188"/>
      <c r="O88" s="185">
        <f t="shared" si="37"/>
        <v>0</v>
      </c>
      <c r="P88" s="305"/>
      <c r="Q88" s="288"/>
    </row>
    <row r="89" spans="1:17" s="289" customFormat="1" ht="32.4" hidden="1">
      <c r="A89" s="300">
        <v>5</v>
      </c>
      <c r="B89" s="429" t="s">
        <v>224</v>
      </c>
      <c r="C89" s="430"/>
      <c r="D89" s="430"/>
      <c r="E89" s="430"/>
      <c r="F89" s="301" t="s">
        <v>111</v>
      </c>
      <c r="G89" s="302"/>
      <c r="H89" s="434" t="s">
        <v>219</v>
      </c>
      <c r="I89" s="433"/>
      <c r="J89" s="303" t="s">
        <v>92</v>
      </c>
      <c r="K89" s="183">
        <f>$Q$22</f>
        <v>3</v>
      </c>
      <c r="L89" s="189">
        <f>1/12</f>
        <v>8.3333333333333329E-2</v>
      </c>
      <c r="M89" s="304">
        <f t="shared" si="36"/>
        <v>0.25</v>
      </c>
      <c r="N89" s="188"/>
      <c r="O89" s="185">
        <f t="shared" si="37"/>
        <v>1</v>
      </c>
      <c r="P89" s="305"/>
      <c r="Q89" s="288"/>
    </row>
    <row r="90" spans="1:17" s="289" customFormat="1" ht="32.4" hidden="1">
      <c r="A90" s="300">
        <f>A89</f>
        <v>5</v>
      </c>
      <c r="B90" s="429" t="str">
        <f>B89</f>
        <v>BAO BIG POLYBAG 100X120CM</v>
      </c>
      <c r="C90" s="430"/>
      <c r="D90" s="430"/>
      <c r="E90" s="430"/>
      <c r="F90" s="301" t="str">
        <f>F89</f>
        <v>CLEAR</v>
      </c>
      <c r="G90" s="302"/>
      <c r="H90" s="434" t="s">
        <v>220</v>
      </c>
      <c r="I90" s="433"/>
      <c r="J90" s="303" t="str">
        <f t="shared" ref="J90:J91" si="42">J89</f>
        <v xml:space="preserve">PCS </v>
      </c>
      <c r="K90" s="183">
        <f>$Q$29</f>
        <v>0</v>
      </c>
      <c r="L90" s="189">
        <f t="shared" ref="L90:L91" si="43">L89</f>
        <v>8.3333333333333329E-2</v>
      </c>
      <c r="M90" s="304">
        <f t="shared" si="36"/>
        <v>0</v>
      </c>
      <c r="N90" s="188"/>
      <c r="O90" s="185">
        <f t="shared" si="37"/>
        <v>0</v>
      </c>
      <c r="P90" s="305"/>
      <c r="Q90" s="288"/>
    </row>
    <row r="91" spans="1:17" s="289" customFormat="1" ht="32.4" hidden="1">
      <c r="A91" s="300">
        <f>A90</f>
        <v>5</v>
      </c>
      <c r="B91" s="429" t="str">
        <f>B90</f>
        <v>BAO BIG POLYBAG 100X120CM</v>
      </c>
      <c r="C91" s="430"/>
      <c r="D91" s="430"/>
      <c r="E91" s="430"/>
      <c r="F91" s="301" t="str">
        <f>F90</f>
        <v>CLEAR</v>
      </c>
      <c r="G91" s="302"/>
      <c r="H91" s="434" t="s">
        <v>221</v>
      </c>
      <c r="I91" s="433"/>
      <c r="J91" s="303" t="str">
        <f t="shared" si="42"/>
        <v xml:space="preserve">PCS </v>
      </c>
      <c r="K91" s="183">
        <f>$Q$36</f>
        <v>0</v>
      </c>
      <c r="L91" s="189">
        <f t="shared" si="43"/>
        <v>8.3333333333333329E-2</v>
      </c>
      <c r="M91" s="304">
        <f t="shared" si="36"/>
        <v>0</v>
      </c>
      <c r="N91" s="188"/>
      <c r="O91" s="185">
        <f t="shared" si="37"/>
        <v>0</v>
      </c>
      <c r="P91" s="305"/>
      <c r="Q91" s="288"/>
    </row>
    <row r="92" spans="1:17" s="289" customFormat="1" ht="32.4" hidden="1">
      <c r="A92" s="300">
        <v>6</v>
      </c>
      <c r="B92" s="429" t="s">
        <v>225</v>
      </c>
      <c r="C92" s="430"/>
      <c r="D92" s="430"/>
      <c r="E92" s="430"/>
      <c r="F92" s="301" t="s">
        <v>113</v>
      </c>
      <c r="G92" s="302"/>
      <c r="H92" s="434" t="s">
        <v>219</v>
      </c>
      <c r="I92" s="433"/>
      <c r="J92" s="303" t="s">
        <v>92</v>
      </c>
      <c r="K92" s="183">
        <f>$Q$22</f>
        <v>3</v>
      </c>
      <c r="L92" s="189">
        <f>1/12</f>
        <v>8.3333333333333329E-2</v>
      </c>
      <c r="M92" s="304">
        <f t="shared" si="36"/>
        <v>0.25</v>
      </c>
      <c r="N92" s="188"/>
      <c r="O92" s="185">
        <f t="shared" si="37"/>
        <v>1</v>
      </c>
      <c r="P92" s="305"/>
      <c r="Q92" s="288"/>
    </row>
    <row r="93" spans="1:17" s="289" customFormat="1" ht="32.4" hidden="1">
      <c r="A93" s="300">
        <f>A92</f>
        <v>6</v>
      </c>
      <c r="B93" s="429" t="str">
        <f>B92</f>
        <v>THÙNG CARTON 60CM (L) *40CM (W)* 30CM (H)</v>
      </c>
      <c r="C93" s="430"/>
      <c r="D93" s="430"/>
      <c r="E93" s="430"/>
      <c r="F93" s="301" t="str">
        <f>F92</f>
        <v>NATURAL</v>
      </c>
      <c r="G93" s="302"/>
      <c r="H93" s="434" t="s">
        <v>220</v>
      </c>
      <c r="I93" s="433"/>
      <c r="J93" s="303" t="str">
        <f t="shared" ref="J93:J94" si="44">J92</f>
        <v xml:space="preserve">PCS </v>
      </c>
      <c r="K93" s="183">
        <f>$Q$29</f>
        <v>0</v>
      </c>
      <c r="L93" s="189">
        <f t="shared" ref="L93:L94" si="45">L92</f>
        <v>8.3333333333333329E-2</v>
      </c>
      <c r="M93" s="304">
        <f t="shared" si="36"/>
        <v>0</v>
      </c>
      <c r="N93" s="188"/>
      <c r="O93" s="185">
        <f t="shared" si="37"/>
        <v>0</v>
      </c>
      <c r="P93" s="305"/>
      <c r="Q93" s="288"/>
    </row>
    <row r="94" spans="1:17" s="289" customFormat="1" ht="32.4" hidden="1">
      <c r="A94" s="300">
        <f>A93</f>
        <v>6</v>
      </c>
      <c r="B94" s="429" t="str">
        <f>B93</f>
        <v>THÙNG CARTON 60CM (L) *40CM (W)* 30CM (H)</v>
      </c>
      <c r="C94" s="430"/>
      <c r="D94" s="430"/>
      <c r="E94" s="430"/>
      <c r="F94" s="301" t="str">
        <f>F93</f>
        <v>NATURAL</v>
      </c>
      <c r="G94" s="302"/>
      <c r="H94" s="434" t="s">
        <v>221</v>
      </c>
      <c r="I94" s="433"/>
      <c r="J94" s="303" t="str">
        <f t="shared" si="44"/>
        <v xml:space="preserve">PCS </v>
      </c>
      <c r="K94" s="183">
        <f>$Q$36</f>
        <v>0</v>
      </c>
      <c r="L94" s="189">
        <f t="shared" si="45"/>
        <v>8.3333333333333329E-2</v>
      </c>
      <c r="M94" s="304">
        <f t="shared" si="36"/>
        <v>0</v>
      </c>
      <c r="N94" s="188"/>
      <c r="O94" s="185">
        <f t="shared" si="37"/>
        <v>0</v>
      </c>
      <c r="P94" s="305"/>
      <c r="Q94" s="288"/>
    </row>
    <row r="95" spans="1:17" s="289" customFormat="1" ht="32.4" hidden="1">
      <c r="A95" s="300">
        <v>7</v>
      </c>
      <c r="B95" s="429" t="s">
        <v>226</v>
      </c>
      <c r="C95" s="430"/>
      <c r="D95" s="430"/>
      <c r="E95" s="430"/>
      <c r="F95" s="301" t="s">
        <v>113</v>
      </c>
      <c r="G95" s="302"/>
      <c r="H95" s="434" t="s">
        <v>219</v>
      </c>
      <c r="I95" s="433"/>
      <c r="J95" s="303" t="s">
        <v>92</v>
      </c>
      <c r="K95" s="183">
        <f>$Q$22</f>
        <v>3</v>
      </c>
      <c r="L95" s="189">
        <f>2*L92</f>
        <v>0.16666666666666666</v>
      </c>
      <c r="M95" s="304">
        <f t="shared" si="36"/>
        <v>0.5</v>
      </c>
      <c r="N95" s="188"/>
      <c r="O95" s="185">
        <f t="shared" si="37"/>
        <v>1</v>
      </c>
      <c r="P95" s="305"/>
      <c r="Q95" s="288"/>
    </row>
    <row r="96" spans="1:17" s="289" customFormat="1" ht="32.4" hidden="1">
      <c r="A96" s="300">
        <f>A95</f>
        <v>7</v>
      </c>
      <c r="B96" s="429" t="str">
        <f>B95</f>
        <v>TẤM LÓT THÙNG</v>
      </c>
      <c r="C96" s="430"/>
      <c r="D96" s="430"/>
      <c r="E96" s="430"/>
      <c r="F96" s="301" t="str">
        <f>F95</f>
        <v>NATURAL</v>
      </c>
      <c r="G96" s="302"/>
      <c r="H96" s="434" t="s">
        <v>220</v>
      </c>
      <c r="I96" s="433"/>
      <c r="J96" s="303" t="str">
        <f t="shared" ref="J96:J97" si="46">J95</f>
        <v xml:space="preserve">PCS </v>
      </c>
      <c r="K96" s="183">
        <f>$Q$29</f>
        <v>0</v>
      </c>
      <c r="L96" s="189">
        <f t="shared" ref="L96:L97" si="47">L95</f>
        <v>0.16666666666666666</v>
      </c>
      <c r="M96" s="304">
        <f t="shared" si="36"/>
        <v>0</v>
      </c>
      <c r="N96" s="188"/>
      <c r="O96" s="185">
        <f t="shared" si="37"/>
        <v>0</v>
      </c>
      <c r="P96" s="305"/>
      <c r="Q96" s="288"/>
    </row>
    <row r="97" spans="1:17" s="289" customFormat="1" ht="32.4" hidden="1">
      <c r="A97" s="300">
        <f>A96</f>
        <v>7</v>
      </c>
      <c r="B97" s="429" t="str">
        <f>B96</f>
        <v>TẤM LÓT THÙNG</v>
      </c>
      <c r="C97" s="430"/>
      <c r="D97" s="430"/>
      <c r="E97" s="430"/>
      <c r="F97" s="301" t="str">
        <f>F96</f>
        <v>NATURAL</v>
      </c>
      <c r="G97" s="302"/>
      <c r="H97" s="434" t="s">
        <v>221</v>
      </c>
      <c r="I97" s="433"/>
      <c r="J97" s="303" t="str">
        <f t="shared" si="46"/>
        <v xml:space="preserve">PCS </v>
      </c>
      <c r="K97" s="183">
        <f>$Q$36</f>
        <v>0</v>
      </c>
      <c r="L97" s="189">
        <f t="shared" si="47"/>
        <v>0.16666666666666666</v>
      </c>
      <c r="M97" s="304">
        <f t="shared" si="36"/>
        <v>0</v>
      </c>
      <c r="N97" s="188"/>
      <c r="O97" s="185">
        <f t="shared" si="37"/>
        <v>0</v>
      </c>
      <c r="P97" s="305"/>
      <c r="Q97" s="288"/>
    </row>
    <row r="98" spans="1:17" s="15" customFormat="1" ht="33" customHeight="1">
      <c r="B98" s="87" t="s">
        <v>124</v>
      </c>
      <c r="C98" s="88"/>
      <c r="D98" s="89"/>
      <c r="E98" s="89"/>
      <c r="F98" s="200"/>
      <c r="G98" s="90"/>
      <c r="H98" s="89"/>
      <c r="I98" s="89"/>
      <c r="J98" s="400" t="s">
        <v>125</v>
      </c>
      <c r="K98" s="400"/>
      <c r="L98" s="400"/>
      <c r="M98" s="400"/>
      <c r="N98" s="400"/>
      <c r="O98" s="33"/>
      <c r="P98" s="33"/>
      <c r="Q98" s="34"/>
    </row>
    <row r="99" spans="1:17" s="92" customFormat="1" ht="50.4" customHeight="1">
      <c r="A99" s="92">
        <v>1</v>
      </c>
      <c r="B99" s="94" t="s">
        <v>126</v>
      </c>
      <c r="C99" s="510" t="s">
        <v>127</v>
      </c>
      <c r="D99" s="510"/>
      <c r="E99" s="510"/>
      <c r="F99" s="510"/>
      <c r="G99" s="510"/>
      <c r="H99" s="510"/>
      <c r="I99" s="510"/>
      <c r="J99" s="510"/>
      <c r="K99" s="510"/>
      <c r="L99" s="510"/>
      <c r="M99" s="35"/>
      <c r="N99" s="35"/>
      <c r="O99" s="35"/>
      <c r="P99" s="35"/>
      <c r="Q99" s="35"/>
    </row>
    <row r="100" spans="1:17" s="15" customFormat="1" ht="44.1" hidden="1" customHeight="1">
      <c r="A100" s="92"/>
      <c r="B100" s="413" t="s">
        <v>128</v>
      </c>
      <c r="C100" s="414"/>
      <c r="D100" s="414"/>
      <c r="E100" s="414"/>
      <c r="F100" s="414"/>
      <c r="G100" s="414"/>
      <c r="H100" s="414"/>
      <c r="I100" s="422"/>
      <c r="J100" s="35"/>
      <c r="K100" s="19"/>
      <c r="L100" s="19"/>
      <c r="M100" s="35"/>
      <c r="N100" s="35"/>
      <c r="O100" s="35"/>
      <c r="P100" s="35"/>
      <c r="Q100" s="35"/>
    </row>
    <row r="101" spans="1:17" s="15" customFormat="1" ht="60" hidden="1" customHeight="1">
      <c r="A101" s="92"/>
      <c r="B101" s="407" t="s">
        <v>77</v>
      </c>
      <c r="C101" s="409"/>
      <c r="D101" s="410" t="s">
        <v>131</v>
      </c>
      <c r="E101" s="411"/>
      <c r="F101" s="411"/>
      <c r="G101" s="411"/>
      <c r="H101" s="411"/>
      <c r="I101" s="412"/>
      <c r="J101" s="35"/>
      <c r="K101" s="35"/>
      <c r="L101" s="35"/>
      <c r="M101" s="35"/>
      <c r="N101" s="35"/>
      <c r="O101" s="35"/>
      <c r="P101" s="35"/>
      <c r="Q101" s="35"/>
    </row>
    <row r="102" spans="1:17" s="15" customFormat="1" ht="60" hidden="1" customHeight="1">
      <c r="A102" s="92"/>
      <c r="B102" s="434" t="str">
        <f>D18</f>
        <v>PRISTINE</v>
      </c>
      <c r="C102" s="433"/>
      <c r="D102" s="388" t="s">
        <v>227</v>
      </c>
      <c r="E102" s="389"/>
      <c r="F102" s="389"/>
      <c r="G102" s="389"/>
      <c r="H102" s="389"/>
      <c r="I102" s="390"/>
      <c r="J102" s="35"/>
      <c r="K102" s="35"/>
      <c r="L102" s="35"/>
      <c r="M102" s="35"/>
      <c r="N102" s="35"/>
      <c r="O102" s="35"/>
    </row>
    <row r="103" spans="1:17" s="15" customFormat="1" ht="32.4" hidden="1">
      <c r="A103" s="92"/>
      <c r="B103" s="413"/>
      <c r="C103" s="414"/>
      <c r="D103" s="414"/>
      <c r="E103" s="414"/>
      <c r="F103" s="414"/>
      <c r="G103" s="414"/>
      <c r="H103" s="414"/>
      <c r="I103" s="422"/>
      <c r="J103" s="35"/>
      <c r="K103" s="535"/>
      <c r="L103" s="535"/>
      <c r="M103" s="535"/>
      <c r="N103" s="535"/>
      <c r="O103" s="535"/>
      <c r="P103" s="535"/>
    </row>
    <row r="104" spans="1:17" s="15" customFormat="1" ht="32.4" hidden="1">
      <c r="A104" s="92"/>
      <c r="B104" s="403"/>
      <c r="C104" s="404"/>
      <c r="D104" s="207" t="s">
        <v>175</v>
      </c>
      <c r="E104" s="207" t="s">
        <v>37</v>
      </c>
      <c r="F104" s="207" t="s">
        <v>38</v>
      </c>
      <c r="G104" s="207" t="s">
        <v>39</v>
      </c>
      <c r="H104" s="207" t="s">
        <v>40</v>
      </c>
      <c r="I104" s="207" t="s">
        <v>41</v>
      </c>
      <c r="J104" s="35"/>
      <c r="K104" s="535"/>
      <c r="L104" s="535"/>
      <c r="M104" s="535"/>
      <c r="N104" s="535"/>
      <c r="O104" s="535"/>
      <c r="P104" s="535"/>
    </row>
    <row r="105" spans="1:17" s="15" customFormat="1" ht="36" hidden="1">
      <c r="A105" s="92"/>
      <c r="B105" s="519" t="s">
        <v>228</v>
      </c>
      <c r="C105" s="520"/>
      <c r="D105" s="514"/>
      <c r="E105" s="515"/>
      <c r="F105" s="515"/>
      <c r="G105" s="515"/>
      <c r="H105" s="515"/>
      <c r="I105" s="516"/>
      <c r="J105" s="35"/>
      <c r="K105" s="535"/>
      <c r="L105" s="535"/>
      <c r="M105" s="535"/>
      <c r="N105" s="535"/>
      <c r="O105" s="535"/>
      <c r="P105" s="535"/>
    </row>
    <row r="106" spans="1:17" s="15" customFormat="1" ht="150.6" hidden="1" customHeight="1">
      <c r="A106" s="92"/>
      <c r="B106" s="519" t="s">
        <v>229</v>
      </c>
      <c r="C106" s="520"/>
      <c r="D106" s="507" t="s">
        <v>227</v>
      </c>
      <c r="E106" s="508"/>
      <c r="F106" s="508"/>
      <c r="G106" s="508"/>
      <c r="H106" s="508"/>
      <c r="I106" s="509"/>
      <c r="J106" s="35"/>
      <c r="K106" s="535"/>
      <c r="L106" s="535"/>
      <c r="M106" s="535"/>
      <c r="N106" s="535"/>
      <c r="O106" s="535"/>
      <c r="P106" s="535"/>
    </row>
    <row r="107" spans="1:17" s="15" customFormat="1" ht="36" hidden="1">
      <c r="A107" s="92"/>
      <c r="B107" s="517" t="s">
        <v>230</v>
      </c>
      <c r="C107" s="518"/>
      <c r="D107" s="514"/>
      <c r="E107" s="515"/>
      <c r="F107" s="515"/>
      <c r="G107" s="515"/>
      <c r="H107" s="515"/>
      <c r="I107" s="516"/>
      <c r="J107" s="35"/>
      <c r="K107" s="535"/>
      <c r="L107" s="535"/>
      <c r="M107" s="535"/>
      <c r="N107" s="535"/>
      <c r="O107" s="535"/>
      <c r="P107" s="535"/>
    </row>
    <row r="108" spans="1:17" s="15" customFormat="1" ht="150.6" hidden="1" customHeight="1">
      <c r="A108" s="92"/>
      <c r="B108" s="517" t="s">
        <v>231</v>
      </c>
      <c r="C108" s="518"/>
      <c r="D108" s="507" t="s">
        <v>227</v>
      </c>
      <c r="E108" s="508"/>
      <c r="F108" s="508"/>
      <c r="G108" s="508"/>
      <c r="H108" s="508"/>
      <c r="I108" s="509"/>
      <c r="J108" s="35"/>
      <c r="K108" s="535"/>
      <c r="L108" s="535"/>
      <c r="M108" s="535"/>
      <c r="N108" s="535"/>
      <c r="O108" s="535"/>
      <c r="P108" s="535"/>
    </row>
    <row r="109" spans="1:17" s="15" customFormat="1" ht="12.75" customHeight="1">
      <c r="A109" s="92"/>
      <c r="B109" s="92"/>
      <c r="C109" s="92"/>
      <c r="D109" s="92"/>
      <c r="E109" s="92"/>
      <c r="F109" s="34"/>
      <c r="G109" s="92"/>
      <c r="H109" s="92"/>
      <c r="I109" s="92"/>
      <c r="J109" s="35"/>
      <c r="K109" s="535"/>
      <c r="L109" s="535"/>
      <c r="M109" s="535"/>
      <c r="N109" s="535"/>
      <c r="O109" s="535"/>
      <c r="P109" s="535"/>
      <c r="Q109" s="35"/>
    </row>
    <row r="110" spans="1:17" s="231" customFormat="1" ht="48" customHeight="1">
      <c r="A110" s="228">
        <v>2</v>
      </c>
      <c r="B110" s="229" t="s">
        <v>232</v>
      </c>
      <c r="C110" s="6" t="s">
        <v>233</v>
      </c>
      <c r="D110" s="299"/>
      <c r="E110" s="299"/>
      <c r="F110" s="299"/>
      <c r="G110" s="230"/>
      <c r="H110" s="230"/>
      <c r="I110" s="230"/>
      <c r="J110" s="230"/>
      <c r="K110" s="535"/>
      <c r="L110" s="535"/>
      <c r="M110" s="535"/>
      <c r="N110" s="535"/>
      <c r="O110" s="535"/>
      <c r="P110" s="535"/>
      <c r="Q110" s="230"/>
    </row>
    <row r="111" spans="1:17" s="15" customFormat="1" ht="32.4" hidden="1">
      <c r="A111" s="92"/>
      <c r="B111" s="413" t="s">
        <v>128</v>
      </c>
      <c r="C111" s="414"/>
      <c r="D111" s="414"/>
      <c r="E111" s="414"/>
      <c r="F111" s="414"/>
      <c r="G111" s="414"/>
      <c r="H111" s="414"/>
      <c r="I111" s="422"/>
      <c r="J111" s="35"/>
      <c r="K111" s="19"/>
      <c r="L111" s="19"/>
      <c r="M111" s="35"/>
      <c r="N111" s="35"/>
      <c r="O111" s="35"/>
      <c r="P111" s="35"/>
      <c r="Q111" s="35"/>
    </row>
    <row r="112" spans="1:17" s="15" customFormat="1" ht="32.4" hidden="1">
      <c r="A112" s="92"/>
      <c r="B112" s="407" t="s">
        <v>77</v>
      </c>
      <c r="C112" s="409"/>
      <c r="D112" s="410" t="s">
        <v>131</v>
      </c>
      <c r="E112" s="411"/>
      <c r="F112" s="411"/>
      <c r="G112" s="411"/>
      <c r="H112" s="411"/>
      <c r="I112" s="412"/>
      <c r="J112" s="35"/>
      <c r="K112" s="35"/>
      <c r="L112" s="35"/>
      <c r="M112" s="35"/>
      <c r="N112" s="35"/>
      <c r="O112" s="35"/>
      <c r="P112" s="35"/>
      <c r="Q112" s="35"/>
    </row>
    <row r="113" spans="1:17" s="15" customFormat="1" ht="32.4" hidden="1">
      <c r="A113" s="92"/>
      <c r="B113" s="434" t="str">
        <f>D22</f>
        <v>PRISTINE</v>
      </c>
      <c r="C113" s="433"/>
      <c r="D113" s="391" t="s">
        <v>234</v>
      </c>
      <c r="E113" s="392"/>
      <c r="F113" s="392"/>
      <c r="G113" s="392"/>
      <c r="H113" s="392"/>
      <c r="I113" s="393"/>
      <c r="J113" s="35"/>
      <c r="K113" s="35"/>
      <c r="L113" s="35"/>
      <c r="M113" s="35"/>
      <c r="N113" s="35"/>
      <c r="O113" s="35"/>
    </row>
    <row r="114" spans="1:17" s="15" customFormat="1" ht="32.4" hidden="1">
      <c r="A114" s="92"/>
      <c r="B114" s="434" t="str">
        <f>D29</f>
        <v>Green / Yellow</v>
      </c>
      <c r="C114" s="433"/>
      <c r="D114" s="394"/>
      <c r="E114" s="395"/>
      <c r="F114" s="395"/>
      <c r="G114" s="395"/>
      <c r="H114" s="395"/>
      <c r="I114" s="396"/>
      <c r="J114" s="35"/>
      <c r="K114" s="35"/>
      <c r="L114" s="35"/>
      <c r="M114" s="35"/>
      <c r="N114" s="35"/>
      <c r="O114" s="35"/>
    </row>
    <row r="115" spans="1:17" s="15" customFormat="1" ht="32.4" hidden="1">
      <c r="A115" s="92"/>
      <c r="B115" s="434" t="str">
        <f>D36</f>
        <v>Laurel Oak / Pristine</v>
      </c>
      <c r="C115" s="433"/>
      <c r="D115" s="397"/>
      <c r="E115" s="398"/>
      <c r="F115" s="398"/>
      <c r="G115" s="398"/>
      <c r="H115" s="398"/>
      <c r="I115" s="399"/>
      <c r="J115" s="35"/>
      <c r="K115" s="35"/>
      <c r="L115" s="35"/>
      <c r="M115" s="35"/>
      <c r="N115" s="35"/>
      <c r="O115" s="35"/>
    </row>
    <row r="116" spans="1:17" s="15" customFormat="1" ht="32.4" hidden="1">
      <c r="A116" s="92"/>
      <c r="B116" s="413"/>
      <c r="C116" s="414"/>
      <c r="D116" s="414"/>
      <c r="E116" s="414"/>
      <c r="F116" s="414"/>
      <c r="G116" s="414"/>
      <c r="H116" s="414"/>
      <c r="I116" s="422"/>
      <c r="J116" s="35"/>
      <c r="K116" s="199"/>
      <c r="L116" s="199"/>
      <c r="M116" s="199"/>
      <c r="N116" s="199"/>
      <c r="O116" s="199"/>
      <c r="P116" s="199"/>
    </row>
    <row r="117" spans="1:17" s="15" customFormat="1" ht="32.4" hidden="1">
      <c r="A117" s="92"/>
      <c r="B117" s="403"/>
      <c r="C117" s="404"/>
      <c r="D117" s="317" t="s">
        <v>235</v>
      </c>
      <c r="E117" s="317" t="s">
        <v>175</v>
      </c>
      <c r="F117" s="317" t="s">
        <v>37</v>
      </c>
      <c r="G117" s="317" t="s">
        <v>38</v>
      </c>
      <c r="H117" s="317" t="s">
        <v>39</v>
      </c>
      <c r="I117" s="317" t="s">
        <v>40</v>
      </c>
      <c r="J117" s="317" t="s">
        <v>41</v>
      </c>
      <c r="K117" s="199"/>
      <c r="L117" s="199"/>
      <c r="M117" s="199"/>
      <c r="N117" s="199"/>
      <c r="O117" s="199"/>
      <c r="P117" s="199"/>
    </row>
    <row r="118" spans="1:17" s="15" customFormat="1" ht="175.5" hidden="1" customHeight="1">
      <c r="A118" s="92"/>
      <c r="B118" s="519" t="e">
        <f>#REF!</f>
        <v>#REF!</v>
      </c>
      <c r="C118" s="520"/>
      <c r="D118" s="318" t="e">
        <f>#REF!</f>
        <v>#REF!</v>
      </c>
      <c r="E118" s="318" t="e">
        <f>#REF!</f>
        <v>#REF!</v>
      </c>
      <c r="F118" s="318" t="e">
        <f>#REF!</f>
        <v>#REF!</v>
      </c>
      <c r="G118" s="318" t="e">
        <f>#REF!</f>
        <v>#REF!</v>
      </c>
      <c r="H118" s="318" t="e">
        <f>#REF!</f>
        <v>#REF!</v>
      </c>
      <c r="I118" s="318" t="e">
        <f>#REF!</f>
        <v>#REF!</v>
      </c>
      <c r="J118" s="318" t="e">
        <f>#REF!</f>
        <v>#REF!</v>
      </c>
      <c r="K118" s="199"/>
      <c r="L118" s="199"/>
      <c r="M118" s="199"/>
      <c r="N118" s="199"/>
      <c r="O118" s="199"/>
      <c r="P118" s="199"/>
    </row>
    <row r="119" spans="1:17" s="15" customFormat="1" ht="175.5" hidden="1" customHeight="1">
      <c r="A119" s="92"/>
      <c r="B119" s="519" t="e">
        <f>#REF!</f>
        <v>#REF!</v>
      </c>
      <c r="C119" s="520"/>
      <c r="D119" s="318" t="e">
        <f>#REF!</f>
        <v>#REF!</v>
      </c>
      <c r="E119" s="318" t="e">
        <f>#REF!</f>
        <v>#REF!</v>
      </c>
      <c r="F119" s="318" t="e">
        <f>#REF!</f>
        <v>#REF!</v>
      </c>
      <c r="G119" s="318" t="e">
        <f>#REF!</f>
        <v>#REF!</v>
      </c>
      <c r="H119" s="318" t="e">
        <f>#REF!</f>
        <v>#REF!</v>
      </c>
      <c r="I119" s="318" t="e">
        <f>#REF!</f>
        <v>#REF!</v>
      </c>
      <c r="J119" s="318" t="e">
        <f>#REF!</f>
        <v>#REF!</v>
      </c>
      <c r="K119" s="199"/>
      <c r="L119" s="199"/>
      <c r="M119" s="199"/>
      <c r="N119" s="199"/>
      <c r="O119" s="199"/>
      <c r="P119" s="199"/>
    </row>
    <row r="120" spans="1:17" s="15" customFormat="1" ht="32.4">
      <c r="A120" s="92"/>
      <c r="B120" s="92"/>
      <c r="C120" s="92"/>
      <c r="D120" s="92"/>
      <c r="E120" s="92"/>
      <c r="F120" s="34"/>
      <c r="G120" s="92"/>
      <c r="H120" s="92"/>
      <c r="I120" s="92"/>
      <c r="J120" s="35"/>
      <c r="K120" s="35"/>
      <c r="L120" s="35"/>
      <c r="M120" s="35"/>
      <c r="N120" s="35"/>
      <c r="O120" s="35"/>
      <c r="P120" s="35"/>
      <c r="Q120" s="35"/>
    </row>
    <row r="121" spans="1:17" s="237" customFormat="1" ht="36">
      <c r="A121" s="232">
        <v>3</v>
      </c>
      <c r="B121" s="233" t="s">
        <v>236</v>
      </c>
      <c r="C121" s="98" t="s">
        <v>237</v>
      </c>
      <c r="D121" s="98"/>
      <c r="E121" s="98"/>
      <c r="F121" s="234"/>
      <c r="G121" s="235"/>
      <c r="H121" s="235"/>
      <c r="I121" s="235"/>
      <c r="J121" s="235"/>
      <c r="K121" s="236"/>
      <c r="L121" s="236"/>
      <c r="M121" s="235"/>
      <c r="N121" s="235"/>
      <c r="O121" s="235"/>
      <c r="P121" s="235"/>
      <c r="Q121" s="235"/>
    </row>
    <row r="122" spans="1:17" s="15" customFormat="1" ht="32.4" hidden="1">
      <c r="A122" s="92"/>
      <c r="B122" s="407" t="s">
        <v>77</v>
      </c>
      <c r="C122" s="409"/>
      <c r="D122" s="410" t="s">
        <v>142</v>
      </c>
      <c r="E122" s="411"/>
      <c r="F122" s="411"/>
      <c r="G122" s="411"/>
      <c r="H122" s="411"/>
      <c r="I122" s="412"/>
      <c r="J122" s="35"/>
      <c r="K122" s="35"/>
      <c r="L122" s="35"/>
      <c r="M122" s="35"/>
      <c r="N122" s="35"/>
      <c r="O122" s="35"/>
      <c r="P122" s="35"/>
      <c r="Q122" s="35"/>
    </row>
    <row r="123" spans="1:17" s="15" customFormat="1" ht="32.4" hidden="1">
      <c r="A123" s="92"/>
      <c r="B123" s="223" t="str">
        <f>$D$22</f>
        <v>PRISTINE</v>
      </c>
      <c r="C123" s="223" t="e">
        <f>#REF!</f>
        <v>#REF!</v>
      </c>
      <c r="D123" s="388" t="s">
        <v>238</v>
      </c>
      <c r="E123" s="389"/>
      <c r="F123" s="389"/>
      <c r="G123" s="389"/>
      <c r="H123" s="389"/>
      <c r="I123" s="390"/>
      <c r="J123" s="35"/>
      <c r="K123" s="35"/>
      <c r="L123" s="35"/>
      <c r="M123" s="35"/>
      <c r="N123" s="35"/>
      <c r="O123" s="35"/>
    </row>
    <row r="124" spans="1:17" s="15" customFormat="1" ht="32.4" hidden="1">
      <c r="A124" s="92"/>
      <c r="B124" s="511" t="str">
        <f>$D$29</f>
        <v>Green / Yellow</v>
      </c>
      <c r="C124" s="512"/>
      <c r="D124" s="388" t="s">
        <v>145</v>
      </c>
      <c r="E124" s="389"/>
      <c r="F124" s="389"/>
      <c r="G124" s="389"/>
      <c r="H124" s="389"/>
      <c r="I124" s="390"/>
      <c r="J124" s="35"/>
      <c r="K124" s="35"/>
      <c r="L124" s="35"/>
      <c r="M124" s="35"/>
      <c r="N124" s="35"/>
      <c r="O124" s="35"/>
    </row>
    <row r="125" spans="1:17" s="15" customFormat="1" ht="32.4" hidden="1">
      <c r="A125" s="92"/>
      <c r="B125" s="513" t="str">
        <f>$D$36</f>
        <v>Laurel Oak / Pristine</v>
      </c>
      <c r="C125" s="513" t="e">
        <f>#REF!</f>
        <v>#REF!</v>
      </c>
      <c r="D125" s="388" t="s">
        <v>238</v>
      </c>
      <c r="E125" s="389"/>
      <c r="F125" s="389"/>
      <c r="G125" s="389"/>
      <c r="H125" s="389"/>
      <c r="I125" s="390"/>
      <c r="J125" s="35"/>
      <c r="K125" s="35"/>
      <c r="L125" s="35"/>
      <c r="M125" s="35"/>
      <c r="N125" s="35"/>
      <c r="O125" s="35"/>
    </row>
    <row r="126" spans="1:17" s="15" customFormat="1" ht="32.4">
      <c r="A126" s="92"/>
      <c r="B126" s="92"/>
      <c r="C126" s="35"/>
      <c r="D126" s="35"/>
      <c r="E126" s="35"/>
      <c r="F126" s="199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</row>
    <row r="127" spans="1:17" s="15" customFormat="1" ht="69" customHeight="1">
      <c r="B127" s="87" t="s">
        <v>157</v>
      </c>
      <c r="C127" s="92"/>
      <c r="D127" s="283"/>
      <c r="E127" s="283"/>
      <c r="G127" s="35"/>
      <c r="M127" s="34"/>
      <c r="N127" s="33"/>
      <c r="O127" s="33"/>
      <c r="P127" s="34"/>
    </row>
    <row r="128" spans="1:17" s="6" customFormat="1" ht="35.25" customHeight="1">
      <c r="A128" s="284">
        <v>1</v>
      </c>
      <c r="B128" s="285" t="s">
        <v>239</v>
      </c>
      <c r="C128" s="284"/>
      <c r="D128" s="284"/>
      <c r="G128" s="9"/>
      <c r="M128" s="277"/>
      <c r="N128" s="286"/>
      <c r="O128" s="286"/>
      <c r="P128" s="277"/>
    </row>
    <row r="129" spans="1:16" s="15" customFormat="1" ht="32.4">
      <c r="A129" s="16">
        <v>2</v>
      </c>
      <c r="B129" s="287" t="s">
        <v>160</v>
      </c>
      <c r="C129" s="92"/>
      <c r="D129" s="92"/>
      <c r="G129" s="35"/>
      <c r="M129" s="34"/>
      <c r="N129" s="33"/>
      <c r="O129" s="33"/>
      <c r="P129" s="34"/>
    </row>
    <row r="130" spans="1:16" s="289" customFormat="1" ht="32.4">
      <c r="A130" s="288" t="s">
        <v>240</v>
      </c>
      <c r="B130" s="95"/>
      <c r="C130" s="288"/>
      <c r="D130" s="288"/>
      <c r="G130" s="290"/>
      <c r="M130" s="40"/>
      <c r="N130" s="291"/>
      <c r="O130" s="291"/>
      <c r="P130" s="40"/>
    </row>
    <row r="131" spans="1:16" s="18" customFormat="1" ht="32.4">
      <c r="A131" s="16"/>
      <c r="B131" s="292" t="s">
        <v>161</v>
      </c>
      <c r="C131" s="293" t="s">
        <v>175</v>
      </c>
      <c r="D131" s="293" t="s">
        <v>37</v>
      </c>
      <c r="E131" s="293" t="s">
        <v>38</v>
      </c>
      <c r="F131" s="293" t="s">
        <v>39</v>
      </c>
      <c r="G131" s="293" t="s">
        <v>40</v>
      </c>
      <c r="H131" s="293" t="s">
        <v>41</v>
      </c>
      <c r="I131" s="294"/>
      <c r="J131" s="295" t="s">
        <v>42</v>
      </c>
      <c r="L131" s="36"/>
      <c r="M131" s="37"/>
      <c r="N131" s="37"/>
      <c r="O131" s="36"/>
    </row>
    <row r="132" spans="1:16" s="18" customFormat="1" ht="32.4">
      <c r="A132" s="16"/>
      <c r="B132" s="292" t="s">
        <v>162</v>
      </c>
      <c r="C132" s="185">
        <f>F38</f>
        <v>0</v>
      </c>
      <c r="D132" s="185">
        <f>G29</f>
        <v>0</v>
      </c>
      <c r="E132" s="185">
        <f>H29</f>
        <v>0</v>
      </c>
      <c r="F132" s="185">
        <f>I29</f>
        <v>0</v>
      </c>
      <c r="G132" s="185">
        <f>J29</f>
        <v>0</v>
      </c>
      <c r="H132" s="185">
        <f>K29</f>
        <v>0</v>
      </c>
      <c r="I132" s="185"/>
      <c r="J132" s="185">
        <f>SUM(C132:I132)</f>
        <v>0</v>
      </c>
      <c r="L132" s="36"/>
      <c r="M132" s="37"/>
      <c r="N132" s="37"/>
      <c r="O132" s="36"/>
    </row>
    <row r="133" spans="1:16" s="15" customFormat="1" ht="32.4">
      <c r="A133" s="16">
        <v>2</v>
      </c>
      <c r="B133" s="287" t="s">
        <v>241</v>
      </c>
      <c r="C133" s="92"/>
      <c r="D133" s="92"/>
      <c r="G133" s="35"/>
      <c r="M133" s="34"/>
      <c r="N133" s="33"/>
      <c r="O133" s="33"/>
      <c r="P133" s="34"/>
    </row>
    <row r="134" spans="1:16" s="289" customFormat="1" ht="32.4">
      <c r="A134" s="288" t="s">
        <v>240</v>
      </c>
      <c r="B134" s="95"/>
      <c r="C134" s="288"/>
      <c r="D134" s="288"/>
      <c r="G134" s="290"/>
      <c r="M134" s="40"/>
      <c r="N134" s="291"/>
      <c r="O134" s="291"/>
      <c r="P134" s="40"/>
    </row>
    <row r="135" spans="1:16" s="18" customFormat="1" ht="57.75" customHeight="1">
      <c r="A135" s="16"/>
      <c r="B135" s="292" t="s">
        <v>242</v>
      </c>
      <c r="C135" s="293" t="s">
        <v>175</v>
      </c>
      <c r="D135" s="293" t="s">
        <v>37</v>
      </c>
      <c r="E135" s="293" t="s">
        <v>38</v>
      </c>
      <c r="F135" s="293" t="s">
        <v>39</v>
      </c>
      <c r="G135" s="293" t="s">
        <v>40</v>
      </c>
      <c r="H135" s="293" t="s">
        <v>41</v>
      </c>
      <c r="I135" s="294"/>
      <c r="J135" s="295" t="s">
        <v>42</v>
      </c>
      <c r="L135" s="36"/>
      <c r="M135" s="37"/>
      <c r="N135" s="37"/>
      <c r="O135" s="36"/>
    </row>
    <row r="136" spans="1:16" s="18" customFormat="1" ht="57.75" customHeight="1">
      <c r="A136" s="16"/>
      <c r="B136" s="319" t="s">
        <v>243</v>
      </c>
      <c r="C136" s="293">
        <f>D136-2</f>
        <v>48</v>
      </c>
      <c r="D136" s="293">
        <f>E136-2</f>
        <v>50</v>
      </c>
      <c r="E136" s="293">
        <v>52</v>
      </c>
      <c r="F136" s="293">
        <f>E136+2</f>
        <v>54</v>
      </c>
      <c r="G136" s="293">
        <f t="shared" ref="G136:H136" si="48">F136+2</f>
        <v>56</v>
      </c>
      <c r="H136" s="293">
        <f t="shared" si="48"/>
        <v>58</v>
      </c>
      <c r="I136" s="294"/>
      <c r="J136" s="296"/>
      <c r="L136" s="36"/>
      <c r="M136" s="37"/>
      <c r="N136" s="37"/>
      <c r="O136" s="36"/>
    </row>
    <row r="137" spans="1:16" s="18" customFormat="1" ht="76.5" customHeight="1">
      <c r="A137" s="16"/>
      <c r="B137" s="320" t="s">
        <v>244</v>
      </c>
      <c r="C137" s="323">
        <f>C136*2.54</f>
        <v>121.92</v>
      </c>
      <c r="D137" s="323">
        <f t="shared" ref="D137:H137" si="49">D136*2.54</f>
        <v>127</v>
      </c>
      <c r="E137" s="323">
        <f t="shared" si="49"/>
        <v>132.08000000000001</v>
      </c>
      <c r="F137" s="323">
        <f t="shared" si="49"/>
        <v>137.16</v>
      </c>
      <c r="G137" s="323">
        <f t="shared" si="49"/>
        <v>142.24</v>
      </c>
      <c r="H137" s="323">
        <f t="shared" si="49"/>
        <v>147.32</v>
      </c>
      <c r="I137" s="321"/>
      <c r="J137" s="322"/>
      <c r="L137" s="36"/>
      <c r="M137" s="37"/>
      <c r="N137" s="37"/>
      <c r="O137" s="36"/>
    </row>
    <row r="138" spans="1:16" s="18" customFormat="1" ht="32.4">
      <c r="A138" s="504"/>
      <c r="B138" s="297" t="str">
        <f>D22</f>
        <v>PRISTINE</v>
      </c>
      <c r="C138" s="293">
        <f t="shared" ref="C138:H138" si="50">F22</f>
        <v>0</v>
      </c>
      <c r="D138" s="293">
        <f t="shared" si="50"/>
        <v>0</v>
      </c>
      <c r="E138" s="293">
        <f t="shared" si="50"/>
        <v>3</v>
      </c>
      <c r="F138" s="293">
        <f t="shared" si="50"/>
        <v>0</v>
      </c>
      <c r="G138" s="293">
        <f t="shared" si="50"/>
        <v>0</v>
      </c>
      <c r="H138" s="293">
        <f t="shared" si="50"/>
        <v>0</v>
      </c>
      <c r="I138" s="294"/>
      <c r="J138" s="297">
        <f t="shared" ref="J138:J140" si="51">SUM(C138:I138)</f>
        <v>3</v>
      </c>
      <c r="L138" s="36"/>
      <c r="M138" s="37"/>
      <c r="N138" s="37"/>
      <c r="O138" s="36"/>
    </row>
    <row r="139" spans="1:16" s="18" customFormat="1" ht="64.8">
      <c r="A139" s="504"/>
      <c r="B139" s="297" t="str">
        <f>D29</f>
        <v>Green / Yellow</v>
      </c>
      <c r="C139" s="293">
        <f t="shared" ref="C139:H139" si="52">F29</f>
        <v>0</v>
      </c>
      <c r="D139" s="293">
        <f t="shared" si="52"/>
        <v>0</v>
      </c>
      <c r="E139" s="293">
        <f t="shared" si="52"/>
        <v>0</v>
      </c>
      <c r="F139" s="293">
        <f t="shared" si="52"/>
        <v>0</v>
      </c>
      <c r="G139" s="293">
        <f t="shared" si="52"/>
        <v>0</v>
      </c>
      <c r="H139" s="293">
        <f t="shared" si="52"/>
        <v>0</v>
      </c>
      <c r="I139" s="294"/>
      <c r="J139" s="297">
        <f t="shared" si="51"/>
        <v>0</v>
      </c>
      <c r="L139" s="36"/>
      <c r="M139" s="37"/>
      <c r="N139" s="37"/>
      <c r="O139" s="36"/>
    </row>
    <row r="140" spans="1:16" s="18" customFormat="1" ht="97.2">
      <c r="A140" s="504"/>
      <c r="B140" s="297" t="str">
        <f>D36</f>
        <v>Laurel Oak / Pristine</v>
      </c>
      <c r="C140" s="293">
        <f t="shared" ref="C140:H140" si="53">F36</f>
        <v>0</v>
      </c>
      <c r="D140" s="293">
        <f t="shared" si="53"/>
        <v>0</v>
      </c>
      <c r="E140" s="293">
        <f t="shared" si="53"/>
        <v>0</v>
      </c>
      <c r="F140" s="293">
        <f t="shared" si="53"/>
        <v>0</v>
      </c>
      <c r="G140" s="293">
        <f t="shared" si="53"/>
        <v>0</v>
      </c>
      <c r="H140" s="293">
        <f t="shared" si="53"/>
        <v>0</v>
      </c>
      <c r="I140" s="297"/>
      <c r="J140" s="297">
        <f t="shared" si="51"/>
        <v>0</v>
      </c>
      <c r="L140" s="36"/>
      <c r="M140" s="37"/>
      <c r="N140" s="37"/>
      <c r="O140" s="36"/>
    </row>
    <row r="141" spans="1:16" s="96" customFormat="1" ht="32.4">
      <c r="F141" s="201"/>
      <c r="G141" s="97"/>
    </row>
    <row r="142" spans="1:16" s="96" customFormat="1" ht="32.4" hidden="1">
      <c r="B142" s="96" t="s">
        <v>245</v>
      </c>
      <c r="C142" s="201">
        <v>29</v>
      </c>
      <c r="D142" s="201">
        <v>71</v>
      </c>
      <c r="E142" s="201">
        <v>165</v>
      </c>
      <c r="F142" s="201">
        <v>120</v>
      </c>
      <c r="G142" s="298">
        <v>62</v>
      </c>
      <c r="H142" s="201">
        <v>21</v>
      </c>
    </row>
    <row r="143" spans="1:16" s="96" customFormat="1" ht="32.4" hidden="1">
      <c r="B143" s="96" t="s">
        <v>245</v>
      </c>
      <c r="C143" s="201">
        <v>30</v>
      </c>
      <c r="D143" s="201">
        <v>65</v>
      </c>
      <c r="E143" s="201">
        <v>138</v>
      </c>
      <c r="F143" s="201">
        <v>107</v>
      </c>
      <c r="G143" s="298">
        <v>53</v>
      </c>
      <c r="H143" s="201">
        <v>18</v>
      </c>
    </row>
    <row r="144" spans="1:16" s="96" customFormat="1" ht="32.4" hidden="1">
      <c r="B144" s="96" t="s">
        <v>245</v>
      </c>
      <c r="C144" s="201">
        <v>38</v>
      </c>
      <c r="D144" s="201">
        <v>85</v>
      </c>
      <c r="E144" s="201">
        <v>189</v>
      </c>
      <c r="F144" s="201">
        <v>143</v>
      </c>
      <c r="G144" s="298">
        <v>69</v>
      </c>
      <c r="H144" s="201">
        <v>24</v>
      </c>
    </row>
    <row r="145" spans="3:8" s="96" customFormat="1" ht="32.4" hidden="1">
      <c r="C145" s="201">
        <f>C142-C138</f>
        <v>29</v>
      </c>
      <c r="D145" s="201">
        <f t="shared" ref="D145:H145" si="54">D142-D138</f>
        <v>71</v>
      </c>
      <c r="E145" s="201">
        <f t="shared" si="54"/>
        <v>162</v>
      </c>
      <c r="F145" s="201">
        <f t="shared" si="54"/>
        <v>120</v>
      </c>
      <c r="G145" s="201">
        <f t="shared" si="54"/>
        <v>62</v>
      </c>
      <c r="H145" s="201">
        <f t="shared" si="54"/>
        <v>21</v>
      </c>
    </row>
    <row r="146" spans="3:8" s="96" customFormat="1" ht="32.4" hidden="1">
      <c r="C146" s="201">
        <f t="shared" ref="C146:H146" si="55">C143-C139</f>
        <v>30</v>
      </c>
      <c r="D146" s="201">
        <f t="shared" si="55"/>
        <v>65</v>
      </c>
      <c r="E146" s="201">
        <f t="shared" si="55"/>
        <v>138</v>
      </c>
      <c r="F146" s="201">
        <f t="shared" si="55"/>
        <v>107</v>
      </c>
      <c r="G146" s="201">
        <f t="shared" si="55"/>
        <v>53</v>
      </c>
      <c r="H146" s="201">
        <f t="shared" si="55"/>
        <v>18</v>
      </c>
    </row>
    <row r="147" spans="3:8" s="96" customFormat="1" ht="32.4" hidden="1">
      <c r="C147" s="201">
        <f t="shared" ref="C147:H147" si="56">C144-C140</f>
        <v>38</v>
      </c>
      <c r="D147" s="201">
        <f t="shared" si="56"/>
        <v>85</v>
      </c>
      <c r="E147" s="201">
        <f t="shared" si="56"/>
        <v>189</v>
      </c>
      <c r="F147" s="201">
        <f t="shared" si="56"/>
        <v>143</v>
      </c>
      <c r="G147" s="201">
        <f t="shared" si="56"/>
        <v>69</v>
      </c>
      <c r="H147" s="201">
        <f t="shared" si="56"/>
        <v>24</v>
      </c>
    </row>
    <row r="148" spans="3:8" s="96" customFormat="1" ht="32.4" hidden="1">
      <c r="C148" s="201"/>
      <c r="D148" s="201"/>
      <c r="E148" s="201"/>
      <c r="F148" s="201"/>
      <c r="G148" s="298"/>
      <c r="H148" s="201"/>
    </row>
    <row r="149" spans="3:8" s="96" customFormat="1" ht="32.4">
      <c r="F149" s="201"/>
      <c r="G149" s="97"/>
    </row>
    <row r="150" spans="3:8" s="96" customFormat="1" ht="32.4">
      <c r="F150" s="201"/>
      <c r="G150" s="97"/>
    </row>
    <row r="151" spans="3:8" s="96" customFormat="1" ht="32.4">
      <c r="F151" s="201"/>
      <c r="G151" s="97"/>
    </row>
    <row r="152" spans="3:8" s="96" customFormat="1" ht="32.4">
      <c r="F152" s="201"/>
      <c r="G152" s="97"/>
    </row>
    <row r="153" spans="3:8" s="96" customFormat="1" ht="32.4">
      <c r="F153" s="201"/>
      <c r="G153" s="97"/>
    </row>
    <row r="154" spans="3:8" s="96" customFormat="1" ht="32.4">
      <c r="F154" s="201"/>
      <c r="G154" s="97"/>
    </row>
    <row r="155" spans="3:8" s="96" customFormat="1" ht="32.4">
      <c r="F155" s="201"/>
      <c r="G155" s="97"/>
    </row>
    <row r="156" spans="3:8" s="96" customFormat="1" ht="32.4">
      <c r="F156" s="201"/>
      <c r="G156" s="97"/>
    </row>
  </sheetData>
  <autoFilter ref="A53:R102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MÀU VẢI"/>
        <filter val="PRISTINE"/>
      </filters>
    </filterColumn>
  </autoFilter>
  <mergeCells count="166">
    <mergeCell ref="B54:E54"/>
    <mergeCell ref="H72:I72"/>
    <mergeCell ref="J98:N98"/>
    <mergeCell ref="K103:P110"/>
    <mergeCell ref="B45:C45"/>
    <mergeCell ref="N45:Q45"/>
    <mergeCell ref="H95:I95"/>
    <mergeCell ref="B89:E89"/>
    <mergeCell ref="B86:E86"/>
    <mergeCell ref="H83:I83"/>
    <mergeCell ref="H86:I86"/>
    <mergeCell ref="B77:E77"/>
    <mergeCell ref="H77:I77"/>
    <mergeCell ref="P60:Q62"/>
    <mergeCell ref="A46:Q46"/>
    <mergeCell ref="B47:C47"/>
    <mergeCell ref="N47:Q47"/>
    <mergeCell ref="B48:C48"/>
    <mergeCell ref="N48:Q48"/>
    <mergeCell ref="A49:Q49"/>
    <mergeCell ref="B50:C50"/>
    <mergeCell ref="N50:Q50"/>
    <mergeCell ref="B51:C51"/>
    <mergeCell ref="N51:Q51"/>
    <mergeCell ref="H54:I54"/>
    <mergeCell ref="A53:E53"/>
    <mergeCell ref="B13:F13"/>
    <mergeCell ref="B93:E93"/>
    <mergeCell ref="N41:Q41"/>
    <mergeCell ref="A42:Q42"/>
    <mergeCell ref="B43:C43"/>
    <mergeCell ref="N43:Q43"/>
    <mergeCell ref="B44:C44"/>
    <mergeCell ref="N44:Q44"/>
    <mergeCell ref="B76:E76"/>
    <mergeCell ref="H76:I76"/>
    <mergeCell ref="B75:E75"/>
    <mergeCell ref="H53:I53"/>
    <mergeCell ref="H92:I92"/>
    <mergeCell ref="H93:I93"/>
    <mergeCell ref="A41:C41"/>
    <mergeCell ref="H63:I63"/>
    <mergeCell ref="B74:E74"/>
    <mergeCell ref="D39:Q40"/>
    <mergeCell ref="B80:E80"/>
    <mergeCell ref="H80:I80"/>
    <mergeCell ref="H75:I75"/>
    <mergeCell ref="B83:E83"/>
    <mergeCell ref="B57:E57"/>
    <mergeCell ref="H57:I57"/>
    <mergeCell ref="B58:E58"/>
    <mergeCell ref="H58:I58"/>
    <mergeCell ref="B59:E59"/>
    <mergeCell ref="H59:I59"/>
    <mergeCell ref="H67:I67"/>
    <mergeCell ref="B68:E68"/>
    <mergeCell ref="H68:I68"/>
    <mergeCell ref="B60:E60"/>
    <mergeCell ref="H60:I60"/>
    <mergeCell ref="B61:E61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122:C122"/>
    <mergeCell ref="D122:I122"/>
    <mergeCell ref="D123:I123"/>
    <mergeCell ref="B124:C124"/>
    <mergeCell ref="D124:I124"/>
    <mergeCell ref="B125:C125"/>
    <mergeCell ref="D125:I125"/>
    <mergeCell ref="D101:I101"/>
    <mergeCell ref="D102:I102"/>
    <mergeCell ref="D105:I105"/>
    <mergeCell ref="B107:C107"/>
    <mergeCell ref="B108:C108"/>
    <mergeCell ref="D107:I107"/>
    <mergeCell ref="B106:C106"/>
    <mergeCell ref="B102:C102"/>
    <mergeCell ref="B116:I116"/>
    <mergeCell ref="B104:C104"/>
    <mergeCell ref="B105:C105"/>
    <mergeCell ref="B103:I103"/>
    <mergeCell ref="B101:C101"/>
    <mergeCell ref="B117:C117"/>
    <mergeCell ref="B118:C118"/>
    <mergeCell ref="B119:C119"/>
    <mergeCell ref="B111:I111"/>
    <mergeCell ref="B113:C113"/>
    <mergeCell ref="B55:E55"/>
    <mergeCell ref="H55:I55"/>
    <mergeCell ref="D108:I108"/>
    <mergeCell ref="B84:E84"/>
    <mergeCell ref="H84:I84"/>
    <mergeCell ref="B64:E64"/>
    <mergeCell ref="H64:I64"/>
    <mergeCell ref="B65:E65"/>
    <mergeCell ref="B56:E56"/>
    <mergeCell ref="H56:I56"/>
    <mergeCell ref="B66:E66"/>
    <mergeCell ref="H74:I74"/>
    <mergeCell ref="B69:E69"/>
    <mergeCell ref="H69:I69"/>
    <mergeCell ref="B70:E70"/>
    <mergeCell ref="H70:I70"/>
    <mergeCell ref="B71:E71"/>
    <mergeCell ref="H71:I71"/>
    <mergeCell ref="B73:E73"/>
    <mergeCell ref="H73:I73"/>
    <mergeCell ref="B72:E72"/>
    <mergeCell ref="C99:L99"/>
    <mergeCell ref="D106:I106"/>
    <mergeCell ref="H61:I61"/>
    <mergeCell ref="B62:E62"/>
    <mergeCell ref="H62:I62"/>
    <mergeCell ref="G60:G61"/>
    <mergeCell ref="H66:I66"/>
    <mergeCell ref="B67:E67"/>
    <mergeCell ref="P63:Q65"/>
    <mergeCell ref="P66:Q68"/>
    <mergeCell ref="B112:C112"/>
    <mergeCell ref="D112:I112"/>
    <mergeCell ref="H89:I89"/>
    <mergeCell ref="B92:E92"/>
    <mergeCell ref="B95:E95"/>
    <mergeCell ref="B81:E81"/>
    <mergeCell ref="H90:I90"/>
    <mergeCell ref="B87:E87"/>
    <mergeCell ref="H87:I87"/>
    <mergeCell ref="B90:E90"/>
    <mergeCell ref="B96:E96"/>
    <mergeCell ref="H96:I96"/>
    <mergeCell ref="H81:I81"/>
    <mergeCell ref="B100:I100"/>
    <mergeCell ref="A79:E79"/>
    <mergeCell ref="H79:I79"/>
    <mergeCell ref="P69:Q71"/>
    <mergeCell ref="P54:Q56"/>
    <mergeCell ref="P57:Q59"/>
    <mergeCell ref="A138:A140"/>
    <mergeCell ref="B114:C114"/>
    <mergeCell ref="B115:C115"/>
    <mergeCell ref="D113:I115"/>
    <mergeCell ref="P72:Q74"/>
    <mergeCell ref="P75:Q77"/>
    <mergeCell ref="F72:F74"/>
    <mergeCell ref="B82:E82"/>
    <mergeCell ref="H82:I82"/>
    <mergeCell ref="B85:E85"/>
    <mergeCell ref="H85:I85"/>
    <mergeCell ref="B88:E88"/>
    <mergeCell ref="H88:I88"/>
    <mergeCell ref="B91:E91"/>
    <mergeCell ref="H91:I91"/>
    <mergeCell ref="B94:E94"/>
    <mergeCell ref="H94:I94"/>
    <mergeCell ref="B97:E97"/>
    <mergeCell ref="H97:I97"/>
    <mergeCell ref="B63:E63"/>
    <mergeCell ref="H65:I65"/>
  </mergeCells>
  <printOptions horizontalCentered="1"/>
  <pageMargins left="0.25" right="0" top="0.61388888888888904" bottom="0.75" header="0" footer="0"/>
  <pageSetup paperSize="9" scale="27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97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37"/>
  <sheetViews>
    <sheetView view="pageBreakPreview" topLeftCell="A12" zoomScale="25" zoomScaleNormal="40" zoomScaleSheetLayoutView="25" zoomScalePageLayoutView="25" workbookViewId="0">
      <selection activeCell="B12" sqref="B12"/>
    </sheetView>
  </sheetViews>
  <sheetFormatPr defaultColWidth="9.109375" defaultRowHeight="24"/>
  <cols>
    <col min="1" max="1" width="82.109375" style="79" customWidth="1"/>
    <col min="2" max="2" width="255.109375" style="79" customWidth="1"/>
    <col min="3" max="4" width="96.88671875" style="79" customWidth="1"/>
    <col min="5" max="5" width="9.109375" style="80"/>
    <col min="6" max="6" width="25.88671875" style="80" bestFit="1" customWidth="1"/>
    <col min="7" max="16384" width="9.109375" style="80"/>
  </cols>
  <sheetData>
    <row r="1" spans="1:10" s="74" customFormat="1" ht="74.25" customHeight="1">
      <c r="A1" s="72"/>
      <c r="B1" s="76"/>
      <c r="C1" s="76"/>
      <c r="D1" s="76"/>
    </row>
    <row r="2" spans="1:10" s="74" customFormat="1" ht="37.5" customHeight="1">
      <c r="A2" s="73" t="str">
        <f>'1. CUTTING DOCKET'!B6</f>
        <v xml:space="preserve">JOB NUMBER:  </v>
      </c>
      <c r="B2" s="75" t="str">
        <f>'1. CUTTING DOCKET'!D6</f>
        <v>A15  SS25   S2734</v>
      </c>
      <c r="C2" s="76"/>
      <c r="D2" s="76"/>
    </row>
    <row r="3" spans="1:10" s="74" customFormat="1" ht="37.5" customHeight="1">
      <c r="A3" s="75" t="str">
        <f>'1. CUTTING DOCKET'!B7</f>
        <v xml:space="preserve">STYLE NUMBER: </v>
      </c>
      <c r="B3" s="75" t="str">
        <f>'1. CUTTING DOCKET'!D7</f>
        <v xml:space="preserve">SS25WR000 </v>
      </c>
      <c r="C3" s="76"/>
      <c r="D3" s="76"/>
    </row>
    <row r="4" spans="1:10" s="74" customFormat="1" ht="37.5" customHeight="1">
      <c r="A4" s="75" t="str">
        <f>'1. CUTTING DOCKET'!B8</f>
        <v xml:space="preserve">STYLE NAME : </v>
      </c>
      <c r="B4" s="75" t="str">
        <f>'1. CUTTING DOCKET'!D8</f>
        <v>Paneled Basketball Short</v>
      </c>
      <c r="C4" s="76"/>
      <c r="D4" s="76"/>
    </row>
    <row r="5" spans="1:10" s="74" customFormat="1" ht="92.1" customHeight="1">
      <c r="A5" s="180"/>
      <c r="B5" s="306" t="str">
        <f>'1. CUTTING DOCKET'!$D$22</f>
        <v>PRISTINE</v>
      </c>
      <c r="C5" s="306" t="str">
        <f>'1. CUTTING DOCKET'!D29</f>
        <v>Green / Yellow</v>
      </c>
      <c r="D5" s="306" t="str">
        <f>'1. CUTTING DOCKET'!D29</f>
        <v>Green / Yellow</v>
      </c>
    </row>
    <row r="6" spans="1:10" s="77" customFormat="1" ht="69.75" customHeight="1">
      <c r="A6" s="144" t="str">
        <f>'1. CUTTING DOCKET'!D39</f>
        <v>NCC: Huamin</v>
      </c>
      <c r="B6" s="243" t="str">
        <f>'1. CUTTING DOCKET'!E43</f>
        <v>PRISTINE</v>
      </c>
      <c r="C6" s="243" t="str">
        <f>'1. CUTTING DOCKET'!E47</f>
        <v>Abundant Green</v>
      </c>
      <c r="D6" s="243" t="str">
        <f>'1. CUTTING DOCKET'!E50</f>
        <v xml:space="preserve">Laurel oak </v>
      </c>
    </row>
    <row r="7" spans="1:10" s="254" customFormat="1" ht="60" customHeight="1">
      <c r="A7" s="252" t="s">
        <v>246</v>
      </c>
      <c r="B7" s="253" t="str">
        <f>'1. CUTTING DOCKET'!M11</f>
        <v>MESH 100% POLY 224gsm</v>
      </c>
      <c r="C7" s="325"/>
      <c r="D7" s="326"/>
    </row>
    <row r="8" spans="1:10" s="254" customFormat="1" ht="352.5" customHeight="1">
      <c r="A8" s="146" t="str">
        <f>'1. CUTTING DOCKET'!$D$43</f>
        <v>VẢI CHÍNH + LINING</v>
      </c>
      <c r="B8" s="307"/>
      <c r="C8" s="307"/>
      <c r="D8" s="307"/>
      <c r="J8" s="255"/>
    </row>
    <row r="9" spans="1:10" s="254" customFormat="1" ht="144" customHeight="1">
      <c r="A9" s="256" t="str">
        <f>'1. CUTTING DOCKET'!$B$44</f>
        <v>TRICOT 100% POLYESTER SHINY TRICOT 170GSM 155CM</v>
      </c>
      <c r="B9" s="253" t="str">
        <f>'1. CUTTING DOCKET'!E44</f>
        <v>WHITE</v>
      </c>
      <c r="C9" s="253" t="str">
        <f>'1. CUTTING DOCKET'!E48</f>
        <v xml:space="preserve"> Spectra Yellow </v>
      </c>
      <c r="D9" s="253" t="str">
        <f>'1. CUTTING DOCKET'!E51</f>
        <v>Pristine</v>
      </c>
    </row>
    <row r="10" spans="1:10" s="254" customFormat="1" ht="319.5" customHeight="1">
      <c r="A10" s="146" t="str">
        <f>'1. CUTTING DOCKET'!$D$44</f>
        <v>MIẾNG PHỐI (2 LỚP) + LÓT TÚI</v>
      </c>
      <c r="B10" s="307"/>
      <c r="C10" s="307"/>
      <c r="D10" s="307"/>
      <c r="J10" s="255"/>
    </row>
    <row r="11" spans="1:10" s="254" customFormat="1" ht="168" customHeight="1">
      <c r="A11" s="256" t="str">
        <f>'1. CUTTING DOCKET'!B45</f>
        <v>C2300246_RIB 2X2_96% COTTON 4% SPANDEX_500GSM</v>
      </c>
      <c r="B11" s="253" t="str">
        <f>'1. CUTTING DOCKET'!E45</f>
        <v>PRISTINE</v>
      </c>
      <c r="C11" s="253" t="str">
        <f>'1. CUTTING DOCKET'!E50</f>
        <v xml:space="preserve">Laurel oak </v>
      </c>
      <c r="D11" s="253">
        <f>'1. CUTTING DOCKET'!E53</f>
        <v>0</v>
      </c>
    </row>
    <row r="12" spans="1:10" s="254" customFormat="1" ht="319.5" customHeight="1">
      <c r="A12" s="146" t="str">
        <f>'1. CUTTING DOCKET'!D45</f>
        <v>LƯNG QUẦN</v>
      </c>
      <c r="B12" s="307"/>
      <c r="C12" s="307"/>
      <c r="D12" s="307"/>
      <c r="J12" s="255"/>
    </row>
    <row r="13" spans="1:10" s="254" customFormat="1" ht="97.5" customHeight="1">
      <c r="A13" s="256" t="s">
        <v>247</v>
      </c>
      <c r="B13" s="257" t="str">
        <f>B6</f>
        <v>PRISTINE</v>
      </c>
      <c r="C13" s="257" t="str">
        <f t="shared" ref="C13:D13" si="0">C6</f>
        <v>Abundant Green</v>
      </c>
      <c r="D13" s="257" t="str">
        <f t="shared" si="0"/>
        <v xml:space="preserve">Laurel oak </v>
      </c>
    </row>
    <row r="14" spans="1:10" s="254" customFormat="1" ht="154.5" customHeight="1">
      <c r="A14" s="146" t="str">
        <f>'1. CUTTING DOCKET'!B54</f>
        <v>CHỈ 40/2 MAY CHÍNH + VẮT SỔ</v>
      </c>
      <c r="B14" s="308" t="str">
        <f>'1. CUTTING DOCKET'!G55</f>
        <v>GR9169</v>
      </c>
      <c r="C14" s="308" t="str">
        <f>'1. CUTTING DOCKET'!G56</f>
        <v>GR9183</v>
      </c>
      <c r="D14" s="308">
        <f>'1. CUTTING DOCKET'!G57</f>
        <v>0</v>
      </c>
    </row>
    <row r="15" spans="1:10" s="254" customFormat="1" ht="97.5" customHeight="1">
      <c r="A15" s="256" t="s">
        <v>247</v>
      </c>
      <c r="B15" s="257" t="str">
        <f>B9</f>
        <v>WHITE</v>
      </c>
      <c r="C15" s="257" t="str">
        <f t="shared" ref="C15:D15" si="1">C9</f>
        <v xml:space="preserve"> Spectra Yellow </v>
      </c>
      <c r="D15" s="257" t="str">
        <f t="shared" si="1"/>
        <v>Pristine</v>
      </c>
    </row>
    <row r="16" spans="1:10" s="254" customFormat="1" ht="154.5" customHeight="1">
      <c r="A16" s="146" t="str">
        <f>'1. CUTTING DOCKET'!B57</f>
        <v>CHỈ 40/2 MAY PHỐI</v>
      </c>
      <c r="B16" s="308">
        <f>'1. CUTTING DOCKET'!G57</f>
        <v>0</v>
      </c>
      <c r="C16" s="308" t="str">
        <f>'1. CUTTING DOCKET'!G58</f>
        <v>YE2629</v>
      </c>
      <c r="D16" s="308" t="str">
        <f>'1. CUTTING DOCKET'!G59</f>
        <v>BE7144</v>
      </c>
    </row>
    <row r="17" spans="1:4" s="254" customFormat="1" ht="97.5" hidden="1" customHeight="1">
      <c r="A17" s="256" t="s">
        <v>247</v>
      </c>
      <c r="B17" s="550" t="str">
        <f>'1. CUTTING DOCKET'!F60</f>
        <v>BRIGHT WHITE</v>
      </c>
      <c r="C17" s="551"/>
      <c r="D17" s="257" t="str">
        <f>'1. CUTTING DOCKET'!F62</f>
        <v>PRISTINE</v>
      </c>
    </row>
    <row r="18" spans="1:4" s="254" customFormat="1" ht="154.5" hidden="1" customHeight="1">
      <c r="A18" s="146" t="str">
        <f>'1. CUTTING DOCKET'!B60</f>
        <v>CHỈ 40/2 MAY DÂY TAPE</v>
      </c>
      <c r="B18" s="539"/>
      <c r="C18" s="543"/>
      <c r="D18" s="308"/>
    </row>
    <row r="19" spans="1:4" s="254" customFormat="1" ht="106.5" customHeight="1">
      <c r="A19" s="256" t="str">
        <f>'1. CUTTING DOCKET'!B63</f>
        <v>NHÃN CHÍNH ALD - ML03</v>
      </c>
      <c r="B19" s="257" t="str">
        <f>'1. CUTTING DOCKET'!F63</f>
        <v>WHITE</v>
      </c>
      <c r="C19" s="324"/>
      <c r="D19" s="324"/>
    </row>
    <row r="20" spans="1:4" s="254" customFormat="1" ht="233.1" customHeight="1">
      <c r="A20" s="146" t="s">
        <v>248</v>
      </c>
      <c r="B20" s="539"/>
      <c r="C20" s="540"/>
      <c r="D20" s="540"/>
    </row>
    <row r="21" spans="1:4" s="254" customFormat="1" ht="246" customHeight="1">
      <c r="A21" s="256" t="str">
        <f>'1. CUTTING DOCKET'!B66</f>
        <v>NHÃN THÀNH PHẦN 100% POLY ALD-COO-301</v>
      </c>
      <c r="B21" s="257" t="str">
        <f>'1. CUTTING DOCKET'!F65</f>
        <v>WHITE</v>
      </c>
      <c r="C21" s="324"/>
      <c r="D21" s="324"/>
    </row>
    <row r="22" spans="1:4" s="254" customFormat="1" ht="382.5" customHeight="1">
      <c r="A22" s="146" t="s">
        <v>249</v>
      </c>
      <c r="B22" s="539"/>
      <c r="C22" s="540"/>
      <c r="D22" s="540"/>
    </row>
    <row r="23" spans="1:4" s="254" customFormat="1" ht="83.4" customHeight="1">
      <c r="A23" s="258" t="str">
        <f>'1. CUTTING DOCKET'!B69</f>
        <v>DÂY PIPING</v>
      </c>
      <c r="B23" s="544" t="s">
        <v>208</v>
      </c>
      <c r="C23" s="546"/>
      <c r="D23" s="257" t="s">
        <v>176</v>
      </c>
    </row>
    <row r="24" spans="1:4" s="254" customFormat="1" ht="285.75" customHeight="1">
      <c r="A24" s="146" t="s">
        <v>250</v>
      </c>
      <c r="B24" s="539"/>
      <c r="C24" s="543"/>
      <c r="D24" s="308"/>
    </row>
    <row r="25" spans="1:4" s="254" customFormat="1" ht="210" customHeight="1">
      <c r="A25" s="256" t="str">
        <f>'1. CUTTING DOCKET'!$B$74</f>
        <v xml:space="preserve">DÂY LUỒN TRÒN COTTON 5MM GÚT ĐẦU </v>
      </c>
      <c r="B25" s="257" t="str">
        <f>'1. CUTTING DOCKET'!F72</f>
        <v>Bright White 11-0601 TCX</v>
      </c>
      <c r="C25" s="324"/>
      <c r="D25" s="324"/>
    </row>
    <row r="26" spans="1:4" s="254" customFormat="1" ht="150.75" customHeight="1">
      <c r="A26" s="146" t="s">
        <v>251</v>
      </c>
      <c r="B26" s="541"/>
      <c r="C26" s="542"/>
      <c r="D26" s="542"/>
    </row>
    <row r="27" spans="1:4" s="254" customFormat="1" ht="89.4" customHeight="1">
      <c r="A27" s="256" t="str">
        <f>'1. CUTTING DOCKET'!$B$77</f>
        <v>THUN 5CM</v>
      </c>
      <c r="B27" s="257" t="str">
        <f>'1. CUTTING DOCKET'!F75</f>
        <v>BLACK</v>
      </c>
      <c r="C27" s="544" t="str">
        <f>'1. CUTTING DOCKET'!F76</f>
        <v>WHITE</v>
      </c>
      <c r="D27" s="545"/>
    </row>
    <row r="28" spans="1:4" s="254" customFormat="1" ht="219.9" customHeight="1">
      <c r="A28" s="146" t="s">
        <v>252</v>
      </c>
      <c r="B28" s="309"/>
      <c r="C28" s="541"/>
      <c r="D28" s="542"/>
    </row>
    <row r="29" spans="1:4" s="254" customFormat="1" ht="54">
      <c r="A29" s="144" t="s">
        <v>218</v>
      </c>
      <c r="B29" s="536" t="s">
        <v>117</v>
      </c>
      <c r="C29" s="537"/>
      <c r="D29" s="538"/>
    </row>
    <row r="30" spans="1:4" s="254" customFormat="1" ht="203.25" customHeight="1">
      <c r="A30" s="145" t="s">
        <v>253</v>
      </c>
      <c r="B30" s="547"/>
      <c r="C30" s="548"/>
      <c r="D30" s="549"/>
    </row>
    <row r="31" spans="1:4" s="254" customFormat="1" ht="72" customHeight="1">
      <c r="A31" s="144" t="s">
        <v>222</v>
      </c>
      <c r="B31" s="536" t="s">
        <v>117</v>
      </c>
      <c r="C31" s="537"/>
      <c r="D31" s="538"/>
    </row>
    <row r="32" spans="1:4" s="254" customFormat="1" ht="159.75" customHeight="1">
      <c r="A32" s="145" t="s">
        <v>253</v>
      </c>
      <c r="B32" s="547"/>
      <c r="C32" s="548"/>
      <c r="D32" s="549"/>
    </row>
    <row r="33" spans="1:4" s="254" customFormat="1" ht="114" customHeight="1">
      <c r="A33" s="144" t="s">
        <v>223</v>
      </c>
      <c r="B33" s="536" t="s">
        <v>111</v>
      </c>
      <c r="C33" s="537"/>
      <c r="D33" s="538"/>
    </row>
    <row r="34" spans="1:4" s="77" customFormat="1" ht="225.75" customHeight="1">
      <c r="A34" s="145" t="s">
        <v>253</v>
      </c>
      <c r="B34" s="547"/>
      <c r="C34" s="548"/>
      <c r="D34" s="549"/>
    </row>
    <row r="35" spans="1:4" s="77" customFormat="1" ht="119.25" customHeight="1">
      <c r="A35" s="144" t="s">
        <v>224</v>
      </c>
      <c r="B35" s="536" t="s">
        <v>111</v>
      </c>
      <c r="C35" s="537"/>
      <c r="D35" s="538"/>
    </row>
    <row r="36" spans="1:4" s="77" customFormat="1" ht="64.5" customHeight="1">
      <c r="A36" s="145" t="s">
        <v>254</v>
      </c>
      <c r="B36" s="547"/>
      <c r="C36" s="548"/>
      <c r="D36" s="549"/>
    </row>
    <row r="37" spans="1:4" ht="228.75" customHeight="1">
      <c r="A37" s="144" t="s">
        <v>255</v>
      </c>
      <c r="B37" s="536" t="s">
        <v>113</v>
      </c>
      <c r="C37" s="537"/>
      <c r="D37" s="538"/>
    </row>
  </sheetData>
  <mergeCells count="18">
    <mergeCell ref="B18:C18"/>
    <mergeCell ref="B17:C17"/>
    <mergeCell ref="B34:D34"/>
    <mergeCell ref="B35:D35"/>
    <mergeCell ref="B36:D36"/>
    <mergeCell ref="B37:D37"/>
    <mergeCell ref="B20:D20"/>
    <mergeCell ref="B22:D22"/>
    <mergeCell ref="B26:D26"/>
    <mergeCell ref="B24:C24"/>
    <mergeCell ref="C27:D27"/>
    <mergeCell ref="C28:D28"/>
    <mergeCell ref="B23:C23"/>
    <mergeCell ref="B29:D29"/>
    <mergeCell ref="B30:D30"/>
    <mergeCell ref="B31:D31"/>
    <mergeCell ref="B32:D32"/>
    <mergeCell ref="B33:D33"/>
  </mergeCells>
  <printOptions horizontalCentered="1"/>
  <pageMargins left="0.25" right="0" top="0.60416666666666696" bottom="0.75" header="0" footer="0"/>
  <pageSetup paperSize="9" scale="29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20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C9B1D-D88A-43F1-A122-265CEE9B488D}">
  <sheetPr>
    <pageSetUpPr fitToPage="1"/>
  </sheetPr>
  <dimension ref="A1:N21"/>
  <sheetViews>
    <sheetView view="pageBreakPreview" topLeftCell="A13" zoomScale="40" zoomScaleNormal="85" zoomScaleSheetLayoutView="40" workbookViewId="0">
      <selection activeCell="G9" sqref="G9"/>
    </sheetView>
  </sheetViews>
  <sheetFormatPr defaultColWidth="8.88671875" defaultRowHeight="13.2"/>
  <cols>
    <col min="1" max="1" width="65.109375" style="222" customWidth="1"/>
    <col min="2" max="2" width="57.88671875" style="222" customWidth="1"/>
    <col min="3" max="3" width="19" style="222" customWidth="1"/>
    <col min="4" max="4" width="57.88671875" style="222" customWidth="1"/>
    <col min="5" max="5" width="62.109375" style="222" customWidth="1"/>
    <col min="6" max="6" width="26" style="250" customWidth="1"/>
    <col min="7" max="7" width="13.5546875" style="250" customWidth="1"/>
    <col min="8" max="8" width="30.44140625" style="250" customWidth="1"/>
    <col min="9" max="13" width="22.88671875" style="250" customWidth="1"/>
    <col min="14" max="14" width="48.33203125" style="222" customWidth="1"/>
    <col min="15" max="16384" width="8.88671875" style="222"/>
  </cols>
  <sheetData>
    <row r="1" spans="1:14" s="216" customFormat="1" ht="61.2">
      <c r="A1" s="214" t="str">
        <f>'1. CUTTING DOCKET'!D7</f>
        <v xml:space="preserve">SS25WR000 </v>
      </c>
      <c r="B1" s="215"/>
      <c r="D1" s="214" t="s">
        <v>256</v>
      </c>
      <c r="E1" s="217"/>
      <c r="F1" s="251"/>
      <c r="G1" s="251"/>
      <c r="H1" s="251"/>
      <c r="I1" s="248"/>
      <c r="J1" s="248"/>
      <c r="K1" s="248"/>
      <c r="L1" s="248"/>
      <c r="M1" s="248"/>
    </row>
    <row r="2" spans="1:14" s="220" customFormat="1" ht="56.4">
      <c r="A2" s="218" t="s">
        <v>257</v>
      </c>
      <c r="B2" s="219"/>
      <c r="C2" s="219" t="s">
        <v>258</v>
      </c>
      <c r="D2" s="219" t="s">
        <v>259</v>
      </c>
      <c r="E2" s="219"/>
      <c r="F2" s="219" t="s">
        <v>260</v>
      </c>
      <c r="G2" s="219" t="s">
        <v>261</v>
      </c>
      <c r="H2" s="219" t="s">
        <v>262</v>
      </c>
      <c r="I2" s="219" t="s">
        <v>263</v>
      </c>
      <c r="J2" s="219" t="s">
        <v>264</v>
      </c>
      <c r="K2" s="219" t="s">
        <v>265</v>
      </c>
      <c r="L2" s="219" t="s">
        <v>266</v>
      </c>
      <c r="M2" s="219" t="s">
        <v>267</v>
      </c>
      <c r="N2" s="219" t="s">
        <v>268</v>
      </c>
    </row>
    <row r="3" spans="1:14" s="226" customFormat="1" ht="64.8">
      <c r="A3" s="224" t="s">
        <v>269</v>
      </c>
      <c r="B3" s="221" t="s">
        <v>270</v>
      </c>
      <c r="C3" s="224" t="s">
        <v>271</v>
      </c>
      <c r="D3" s="224"/>
      <c r="E3" s="221"/>
      <c r="F3" s="310" t="s">
        <v>272</v>
      </c>
      <c r="G3" s="310" t="s">
        <v>273</v>
      </c>
      <c r="H3" s="310" t="s">
        <v>274</v>
      </c>
      <c r="I3" s="311" t="s">
        <v>275</v>
      </c>
      <c r="J3" s="312"/>
      <c r="K3" s="313"/>
      <c r="L3" s="310"/>
      <c r="M3" s="310"/>
      <c r="N3" s="314"/>
    </row>
    <row r="4" spans="1:14" s="226" customFormat="1" ht="64.8">
      <c r="A4" s="224" t="s">
        <v>276</v>
      </c>
      <c r="B4" s="221" t="s">
        <v>277</v>
      </c>
      <c r="C4" s="224" t="s">
        <v>278</v>
      </c>
      <c r="D4" s="224" t="s">
        <v>279</v>
      </c>
      <c r="E4" s="221" t="s">
        <v>280</v>
      </c>
      <c r="F4" s="310" t="s">
        <v>281</v>
      </c>
      <c r="G4" s="310" t="s">
        <v>282</v>
      </c>
      <c r="H4" s="310" t="s">
        <v>283</v>
      </c>
      <c r="I4" s="311" t="s">
        <v>284</v>
      </c>
      <c r="J4" s="312"/>
      <c r="K4" s="313"/>
      <c r="L4" s="310"/>
      <c r="M4" s="310"/>
      <c r="N4" s="314"/>
    </row>
    <row r="5" spans="1:14" s="226" customFormat="1" ht="64.8">
      <c r="A5" s="224" t="s">
        <v>285</v>
      </c>
      <c r="B5" s="221" t="s">
        <v>286</v>
      </c>
      <c r="C5" s="224" t="s">
        <v>287</v>
      </c>
      <c r="D5" s="224" t="s">
        <v>288</v>
      </c>
      <c r="E5" s="221" t="s">
        <v>289</v>
      </c>
      <c r="F5" s="310" t="s">
        <v>281</v>
      </c>
      <c r="G5" s="310" t="s">
        <v>273</v>
      </c>
      <c r="H5" s="310" t="s">
        <v>283</v>
      </c>
      <c r="I5" s="311" t="s">
        <v>290</v>
      </c>
      <c r="J5" s="312"/>
      <c r="K5" s="313"/>
      <c r="L5" s="310"/>
      <c r="M5" s="310"/>
      <c r="N5" s="314"/>
    </row>
    <row r="6" spans="1:14" s="226" customFormat="1" ht="64.8">
      <c r="A6" s="224" t="s">
        <v>291</v>
      </c>
      <c r="B6" s="221" t="s">
        <v>292</v>
      </c>
      <c r="C6" s="224" t="s">
        <v>293</v>
      </c>
      <c r="D6" s="224"/>
      <c r="E6" s="221"/>
      <c r="F6" s="310" t="s">
        <v>272</v>
      </c>
      <c r="G6" s="310" t="s">
        <v>273</v>
      </c>
      <c r="H6" s="310" t="s">
        <v>294</v>
      </c>
      <c r="I6" s="311" t="s">
        <v>295</v>
      </c>
      <c r="J6" s="312"/>
      <c r="K6" s="313"/>
      <c r="L6" s="310"/>
      <c r="M6" s="310"/>
      <c r="N6" s="314"/>
    </row>
    <row r="7" spans="1:14" s="226" customFormat="1" ht="94.5" customHeight="1">
      <c r="A7" s="224" t="s">
        <v>296</v>
      </c>
      <c r="B7" s="221" t="s">
        <v>297</v>
      </c>
      <c r="C7" s="224" t="s">
        <v>298</v>
      </c>
      <c r="D7" s="227" t="s">
        <v>299</v>
      </c>
      <c r="E7" s="221" t="s">
        <v>300</v>
      </c>
      <c r="F7" s="310" t="s">
        <v>281</v>
      </c>
      <c r="G7" s="310" t="s">
        <v>273</v>
      </c>
      <c r="H7" s="310" t="s">
        <v>301</v>
      </c>
      <c r="I7" s="311" t="s">
        <v>302</v>
      </c>
      <c r="J7" s="312"/>
      <c r="K7" s="313"/>
      <c r="L7" s="310"/>
      <c r="M7" s="310"/>
      <c r="N7" s="314"/>
    </row>
    <row r="8" spans="1:14" s="226" customFormat="1" ht="111.6" customHeight="1">
      <c r="A8" s="224" t="s">
        <v>303</v>
      </c>
      <c r="B8" s="221" t="s">
        <v>304</v>
      </c>
      <c r="C8" s="224" t="s">
        <v>305</v>
      </c>
      <c r="D8" s="224" t="s">
        <v>306</v>
      </c>
      <c r="E8" s="221" t="s">
        <v>307</v>
      </c>
      <c r="F8" s="310" t="s">
        <v>281</v>
      </c>
      <c r="G8" s="310" t="s">
        <v>273</v>
      </c>
      <c r="H8" s="310" t="s">
        <v>301</v>
      </c>
      <c r="I8" s="311" t="s">
        <v>308</v>
      </c>
      <c r="J8" s="312"/>
      <c r="K8" s="313"/>
      <c r="L8" s="310"/>
      <c r="M8" s="310"/>
      <c r="N8" s="314"/>
    </row>
    <row r="9" spans="1:14" s="226" customFormat="1" ht="97.2">
      <c r="A9" s="224" t="s">
        <v>309</v>
      </c>
      <c r="B9" s="221" t="s">
        <v>310</v>
      </c>
      <c r="C9" s="224" t="s">
        <v>311</v>
      </c>
      <c r="D9" s="224" t="s">
        <v>312</v>
      </c>
      <c r="E9" s="221" t="s">
        <v>313</v>
      </c>
      <c r="F9" s="310" t="s">
        <v>281</v>
      </c>
      <c r="G9" s="310" t="s">
        <v>273</v>
      </c>
      <c r="H9" s="310" t="s">
        <v>314</v>
      </c>
      <c r="I9" s="311" t="s">
        <v>315</v>
      </c>
      <c r="J9" s="312"/>
      <c r="K9" s="313"/>
      <c r="L9" s="310"/>
      <c r="M9" s="310"/>
      <c r="N9" s="314"/>
    </row>
    <row r="10" spans="1:14" s="226" customFormat="1" ht="97.2">
      <c r="A10" s="224" t="s">
        <v>316</v>
      </c>
      <c r="B10" s="221" t="s">
        <v>317</v>
      </c>
      <c r="C10" s="224" t="s">
        <v>271</v>
      </c>
      <c r="D10" s="224" t="s">
        <v>318</v>
      </c>
      <c r="E10" s="221" t="s">
        <v>319</v>
      </c>
      <c r="F10" s="310" t="s">
        <v>281</v>
      </c>
      <c r="G10" s="310" t="s">
        <v>273</v>
      </c>
      <c r="H10" s="310" t="s">
        <v>283</v>
      </c>
      <c r="I10" s="311" t="s">
        <v>320</v>
      </c>
      <c r="J10" s="312"/>
      <c r="K10" s="315"/>
      <c r="L10" s="310"/>
      <c r="M10" s="310"/>
      <c r="N10" s="310"/>
    </row>
    <row r="11" spans="1:14" s="226" customFormat="1" ht="97.2">
      <c r="A11" s="224" t="s">
        <v>321</v>
      </c>
      <c r="B11" s="221" t="s">
        <v>322</v>
      </c>
      <c r="C11" s="224" t="s">
        <v>323</v>
      </c>
      <c r="D11" s="224" t="s">
        <v>324</v>
      </c>
      <c r="E11" s="221" t="s">
        <v>325</v>
      </c>
      <c r="F11" s="310" t="s">
        <v>281</v>
      </c>
      <c r="G11" s="310" t="s">
        <v>273</v>
      </c>
      <c r="H11" s="310" t="s">
        <v>283</v>
      </c>
      <c r="I11" s="311" t="s">
        <v>326</v>
      </c>
      <c r="J11" s="312"/>
      <c r="K11" s="313"/>
      <c r="L11" s="310"/>
      <c r="M11" s="310"/>
      <c r="N11" s="314"/>
    </row>
    <row r="12" spans="1:14" s="226" customFormat="1" ht="64.8">
      <c r="A12" s="224" t="s">
        <v>327</v>
      </c>
      <c r="B12" s="221" t="s">
        <v>328</v>
      </c>
      <c r="C12" s="224" t="s">
        <v>329</v>
      </c>
      <c r="D12" s="224" t="s">
        <v>330</v>
      </c>
      <c r="E12" s="221" t="s">
        <v>331</v>
      </c>
      <c r="F12" s="310" t="s">
        <v>281</v>
      </c>
      <c r="G12" s="310" t="s">
        <v>273</v>
      </c>
      <c r="H12" s="310" t="s">
        <v>283</v>
      </c>
      <c r="I12" s="311" t="s">
        <v>332</v>
      </c>
      <c r="J12" s="312"/>
      <c r="K12" s="313"/>
      <c r="L12" s="310"/>
      <c r="M12" s="310"/>
      <c r="N12" s="314"/>
    </row>
    <row r="13" spans="1:14" s="226" customFormat="1" ht="64.8">
      <c r="A13" s="224" t="s">
        <v>333</v>
      </c>
      <c r="B13" s="221" t="s">
        <v>334</v>
      </c>
      <c r="C13" s="224" t="s">
        <v>335</v>
      </c>
      <c r="D13" s="224"/>
      <c r="E13" s="221"/>
      <c r="F13" s="310" t="s">
        <v>272</v>
      </c>
      <c r="G13" s="310" t="s">
        <v>273</v>
      </c>
      <c r="H13" s="310" t="s">
        <v>274</v>
      </c>
      <c r="I13" s="311" t="s">
        <v>283</v>
      </c>
      <c r="J13" s="312"/>
      <c r="K13" s="313"/>
      <c r="L13" s="310"/>
      <c r="M13" s="310"/>
      <c r="N13" s="314"/>
    </row>
    <row r="14" spans="1:14" s="226" customFormat="1" ht="129.6">
      <c r="A14" s="224" t="s">
        <v>336</v>
      </c>
      <c r="B14" s="221" t="s">
        <v>337</v>
      </c>
      <c r="C14" s="224" t="s">
        <v>338</v>
      </c>
      <c r="D14" s="224" t="s">
        <v>339</v>
      </c>
      <c r="E14" s="221" t="s">
        <v>340</v>
      </c>
      <c r="F14" s="310" t="s">
        <v>281</v>
      </c>
      <c r="G14" s="310" t="s">
        <v>273</v>
      </c>
      <c r="H14" s="310" t="s">
        <v>301</v>
      </c>
      <c r="I14" s="311" t="s">
        <v>341</v>
      </c>
      <c r="J14" s="312"/>
      <c r="K14" s="313"/>
      <c r="L14" s="310"/>
      <c r="M14" s="310"/>
      <c r="N14" s="314"/>
    </row>
    <row r="15" spans="1:14" s="226" customFormat="1" ht="97.2">
      <c r="A15" s="224" t="s">
        <v>342</v>
      </c>
      <c r="B15" s="221" t="s">
        <v>343</v>
      </c>
      <c r="C15" s="224" t="s">
        <v>344</v>
      </c>
      <c r="D15" s="224"/>
      <c r="E15" s="221"/>
      <c r="F15" s="310" t="s">
        <v>272</v>
      </c>
      <c r="G15" s="310" t="s">
        <v>273</v>
      </c>
      <c r="H15" s="310" t="s">
        <v>274</v>
      </c>
      <c r="I15" s="311" t="s">
        <v>345</v>
      </c>
      <c r="J15" s="312"/>
      <c r="K15" s="313"/>
      <c r="L15" s="310"/>
      <c r="M15" s="310"/>
      <c r="N15" s="314"/>
    </row>
    <row r="16" spans="1:14" s="226" customFormat="1" ht="64.8">
      <c r="A16" s="224" t="s">
        <v>346</v>
      </c>
      <c r="B16" s="221" t="s">
        <v>347</v>
      </c>
      <c r="C16" s="224" t="s">
        <v>348</v>
      </c>
      <c r="D16" s="224"/>
      <c r="E16" s="221"/>
      <c r="F16" s="310" t="s">
        <v>272</v>
      </c>
      <c r="G16" s="310" t="s">
        <v>273</v>
      </c>
      <c r="H16" s="310" t="s">
        <v>301</v>
      </c>
      <c r="I16" s="311" t="s">
        <v>349</v>
      </c>
      <c r="J16" s="312"/>
      <c r="K16" s="313"/>
      <c r="L16" s="310"/>
      <c r="M16" s="310"/>
      <c r="N16" s="314"/>
    </row>
    <row r="17" spans="1:14" s="242" customFormat="1" ht="97.2">
      <c r="A17" s="239" t="s">
        <v>350</v>
      </c>
      <c r="B17" s="221" t="s">
        <v>351</v>
      </c>
      <c r="C17" s="239" t="s">
        <v>271</v>
      </c>
      <c r="D17" s="239"/>
      <c r="E17" s="221"/>
      <c r="F17" s="310" t="s">
        <v>272</v>
      </c>
      <c r="G17" s="310" t="s">
        <v>273</v>
      </c>
      <c r="H17" s="310" t="s">
        <v>274</v>
      </c>
      <c r="I17" s="311" t="s">
        <v>352</v>
      </c>
      <c r="J17" s="312"/>
      <c r="K17" s="313"/>
      <c r="L17" s="310"/>
      <c r="M17" s="310"/>
      <c r="N17" s="314"/>
    </row>
    <row r="18" spans="1:14" s="226" customFormat="1" ht="97.2">
      <c r="A18" s="224" t="s">
        <v>353</v>
      </c>
      <c r="B18" s="221" t="s">
        <v>354</v>
      </c>
      <c r="C18" s="224" t="s">
        <v>271</v>
      </c>
      <c r="D18" s="224"/>
      <c r="E18" s="221"/>
      <c r="F18" s="310" t="s">
        <v>272</v>
      </c>
      <c r="G18" s="310" t="s">
        <v>273</v>
      </c>
      <c r="H18" s="310" t="s">
        <v>274</v>
      </c>
      <c r="I18" s="311" t="s">
        <v>355</v>
      </c>
      <c r="J18" s="312"/>
      <c r="K18" s="315"/>
      <c r="L18" s="310"/>
      <c r="M18" s="310"/>
      <c r="N18" s="310"/>
    </row>
    <row r="19" spans="1:14" s="226" customFormat="1" ht="64.8">
      <c r="A19" s="224" t="s">
        <v>356</v>
      </c>
      <c r="B19" s="221" t="s">
        <v>357</v>
      </c>
      <c r="C19" s="224" t="s">
        <v>358</v>
      </c>
      <c r="D19" s="224" t="s">
        <v>359</v>
      </c>
      <c r="E19" s="221" t="s">
        <v>360</v>
      </c>
      <c r="F19" s="310" t="s">
        <v>272</v>
      </c>
      <c r="G19" s="310" t="s">
        <v>273</v>
      </c>
      <c r="H19" s="310" t="s">
        <v>274</v>
      </c>
      <c r="I19" s="311" t="s">
        <v>275</v>
      </c>
      <c r="J19" s="312"/>
      <c r="K19" s="315"/>
      <c r="L19" s="310"/>
      <c r="M19" s="310"/>
      <c r="N19" s="310"/>
    </row>
    <row r="20" spans="1:14" s="226" customFormat="1" ht="64.8">
      <c r="A20" s="224" t="s">
        <v>361</v>
      </c>
      <c r="B20" s="221" t="s">
        <v>362</v>
      </c>
      <c r="C20" s="224" t="s">
        <v>363</v>
      </c>
      <c r="D20" s="224"/>
      <c r="E20" s="221"/>
      <c r="F20" s="310" t="s">
        <v>281</v>
      </c>
      <c r="G20" s="310" t="s">
        <v>273</v>
      </c>
      <c r="H20" s="310" t="s">
        <v>301</v>
      </c>
      <c r="I20" s="311" t="s">
        <v>341</v>
      </c>
      <c r="J20" s="312"/>
      <c r="K20" s="315"/>
      <c r="L20" s="310"/>
      <c r="M20" s="310"/>
      <c r="N20" s="310"/>
    </row>
    <row r="21" spans="1:14" s="226" customFormat="1" ht="64.8">
      <c r="A21" s="224" t="s">
        <v>364</v>
      </c>
      <c r="B21" s="221" t="s">
        <v>365</v>
      </c>
      <c r="C21" s="224" t="s">
        <v>366</v>
      </c>
      <c r="D21" s="224"/>
      <c r="E21" s="221"/>
      <c r="F21" s="310" t="s">
        <v>281</v>
      </c>
      <c r="G21" s="310" t="s">
        <v>273</v>
      </c>
      <c r="H21" s="310" t="s">
        <v>301</v>
      </c>
      <c r="I21" s="311" t="s">
        <v>367</v>
      </c>
      <c r="J21" s="312"/>
      <c r="K21" s="315"/>
      <c r="L21" s="310"/>
      <c r="M21" s="310"/>
      <c r="N21" s="316"/>
    </row>
  </sheetData>
  <pageMargins left="0.25" right="0.25" top="0.75" bottom="0.75" header="0.3" footer="0.3"/>
  <pageSetup paperSize="9" scale="4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B844A-16B8-4072-8791-2F405F598B94}">
  <sheetPr>
    <pageSetUpPr fitToPage="1"/>
  </sheetPr>
  <dimension ref="A1:O21"/>
  <sheetViews>
    <sheetView view="pageBreakPreview" topLeftCell="A3" zoomScale="40" zoomScaleNormal="85" zoomScaleSheetLayoutView="40" workbookViewId="0">
      <selection activeCell="I2" sqref="I2"/>
    </sheetView>
  </sheetViews>
  <sheetFormatPr defaultColWidth="8.88671875" defaultRowHeight="13.2"/>
  <cols>
    <col min="1" max="1" width="65.109375" style="222" customWidth="1"/>
    <col min="2" max="2" width="57.88671875" style="222" hidden="1" customWidth="1"/>
    <col min="3" max="3" width="19" style="222" customWidth="1"/>
    <col min="4" max="4" width="57.88671875" style="222" customWidth="1"/>
    <col min="5" max="5" width="62.109375" style="222" hidden="1" customWidth="1"/>
    <col min="6" max="6" width="26" style="250" customWidth="1"/>
    <col min="7" max="7" width="13.5546875" style="250" customWidth="1"/>
    <col min="8" max="8" width="30.44140625" style="250" customWidth="1"/>
    <col min="9" max="9" width="22.88671875" style="250" customWidth="1"/>
    <col min="10" max="10" width="27.5546875" style="250" customWidth="1"/>
    <col min="11" max="11" width="22.88671875" style="383" customWidth="1"/>
    <col min="12" max="13" width="22.88671875" style="250" customWidth="1"/>
    <col min="14" max="14" width="48.33203125" style="222" customWidth="1"/>
    <col min="15" max="16384" width="8.88671875" style="222"/>
  </cols>
  <sheetData>
    <row r="1" spans="1:15" s="216" customFormat="1" ht="61.2">
      <c r="A1" s="214" t="str">
        <f>'1. CUTTING DOCKET'!D7</f>
        <v xml:space="preserve">SS25WR000 </v>
      </c>
      <c r="B1" s="215"/>
      <c r="D1" s="214"/>
      <c r="E1" s="217"/>
      <c r="F1" s="251"/>
      <c r="G1" s="251"/>
      <c r="H1" s="251"/>
      <c r="I1" s="248"/>
      <c r="J1" s="248"/>
      <c r="K1" s="381"/>
      <c r="L1" s="248"/>
      <c r="M1" s="248"/>
    </row>
    <row r="2" spans="1:15" s="220" customFormat="1" ht="56.4">
      <c r="A2" s="218" t="s">
        <v>257</v>
      </c>
      <c r="B2" s="219"/>
      <c r="C2" s="219" t="s">
        <v>258</v>
      </c>
      <c r="D2" s="219" t="s">
        <v>259</v>
      </c>
      <c r="E2" s="219"/>
      <c r="F2" s="219" t="s">
        <v>260</v>
      </c>
      <c r="G2" s="219" t="s">
        <v>261</v>
      </c>
      <c r="H2" s="219" t="s">
        <v>262</v>
      </c>
      <c r="I2" s="219" t="s">
        <v>263</v>
      </c>
      <c r="J2" s="219" t="s">
        <v>456</v>
      </c>
      <c r="K2" s="382" t="s">
        <v>457</v>
      </c>
      <c r="L2" s="219" t="s">
        <v>266</v>
      </c>
      <c r="M2" s="219" t="s">
        <v>458</v>
      </c>
      <c r="N2" s="219" t="s">
        <v>268</v>
      </c>
    </row>
    <row r="3" spans="1:15" s="226" customFormat="1" ht="64.8">
      <c r="A3" s="224" t="s">
        <v>269</v>
      </c>
      <c r="B3" s="221" t="s">
        <v>270</v>
      </c>
      <c r="C3" s="224" t="s">
        <v>271</v>
      </c>
      <c r="D3" s="224"/>
      <c r="E3" s="221"/>
      <c r="F3" s="385" t="s">
        <v>272</v>
      </c>
      <c r="G3" s="385" t="s">
        <v>273</v>
      </c>
      <c r="H3" s="385" t="s">
        <v>274</v>
      </c>
      <c r="I3" s="386" t="s">
        <v>275</v>
      </c>
      <c r="J3" s="387">
        <f>K3+O3</f>
        <v>2.125</v>
      </c>
      <c r="K3" s="384">
        <v>-0.125</v>
      </c>
      <c r="L3" s="380"/>
      <c r="M3" s="380"/>
      <c r="N3" s="380"/>
      <c r="O3" s="226" t="str">
        <f>LEFT(I3,LEN(I3)-3)</f>
        <v>2 1/4</v>
      </c>
    </row>
    <row r="4" spans="1:15" s="226" customFormat="1" ht="64.8">
      <c r="A4" s="224" t="s">
        <v>276</v>
      </c>
      <c r="B4" s="221" t="s">
        <v>277</v>
      </c>
      <c r="C4" s="224" t="s">
        <v>278</v>
      </c>
      <c r="D4" s="224" t="s">
        <v>279</v>
      </c>
      <c r="E4" s="221" t="s">
        <v>280</v>
      </c>
      <c r="F4" s="385" t="s">
        <v>281</v>
      </c>
      <c r="G4" s="385" t="s">
        <v>282</v>
      </c>
      <c r="H4" s="385" t="s">
        <v>283</v>
      </c>
      <c r="I4" s="386" t="s">
        <v>284</v>
      </c>
      <c r="J4" s="387">
        <f t="shared" ref="J4:J21" si="0">K4+O4</f>
        <v>33</v>
      </c>
      <c r="K4" s="384">
        <v>0</v>
      </c>
      <c r="L4" s="310"/>
      <c r="M4" s="310"/>
      <c r="N4" s="314"/>
      <c r="O4" s="226" t="str">
        <f t="shared" ref="O4:O21" si="1">LEFT(I4,LEN(I4)-3)</f>
        <v>33</v>
      </c>
    </row>
    <row r="5" spans="1:15" s="226" customFormat="1" ht="64.8">
      <c r="A5" s="224" t="s">
        <v>285</v>
      </c>
      <c r="B5" s="221" t="s">
        <v>286</v>
      </c>
      <c r="C5" s="224" t="s">
        <v>287</v>
      </c>
      <c r="D5" s="224" t="s">
        <v>288</v>
      </c>
      <c r="E5" s="221" t="s">
        <v>289</v>
      </c>
      <c r="F5" s="385" t="s">
        <v>281</v>
      </c>
      <c r="G5" s="385" t="s">
        <v>273</v>
      </c>
      <c r="H5" s="385" t="s">
        <v>283</v>
      </c>
      <c r="I5" s="386" t="s">
        <v>290</v>
      </c>
      <c r="J5" s="387">
        <f t="shared" si="0"/>
        <v>41</v>
      </c>
      <c r="K5" s="384">
        <v>0</v>
      </c>
      <c r="L5" s="310"/>
      <c r="M5" s="310"/>
      <c r="N5" s="314"/>
      <c r="O5" s="226" t="str">
        <f t="shared" si="1"/>
        <v>41</v>
      </c>
    </row>
    <row r="6" spans="1:15" s="226" customFormat="1" ht="64.8">
      <c r="A6" s="224" t="s">
        <v>291</v>
      </c>
      <c r="B6" s="221" t="s">
        <v>292</v>
      </c>
      <c r="C6" s="224" t="s">
        <v>293</v>
      </c>
      <c r="D6" s="224"/>
      <c r="E6" s="221"/>
      <c r="F6" s="385" t="s">
        <v>272</v>
      </c>
      <c r="G6" s="385" t="s">
        <v>273</v>
      </c>
      <c r="H6" s="385" t="s">
        <v>294</v>
      </c>
      <c r="I6" s="386" t="s">
        <v>295</v>
      </c>
      <c r="J6" s="387">
        <f t="shared" si="0"/>
        <v>52</v>
      </c>
      <c r="K6" s="384">
        <v>0</v>
      </c>
      <c r="L6" s="310"/>
      <c r="M6" s="310"/>
      <c r="N6" s="314"/>
      <c r="O6" s="226" t="str">
        <f t="shared" si="1"/>
        <v>52</v>
      </c>
    </row>
    <row r="7" spans="1:15" s="226" customFormat="1" ht="94.5" customHeight="1">
      <c r="A7" s="224" t="s">
        <v>296</v>
      </c>
      <c r="B7" s="221" t="s">
        <v>297</v>
      </c>
      <c r="C7" s="224" t="s">
        <v>298</v>
      </c>
      <c r="D7" s="227" t="s">
        <v>299</v>
      </c>
      <c r="E7" s="221" t="s">
        <v>300</v>
      </c>
      <c r="F7" s="385" t="s">
        <v>281</v>
      </c>
      <c r="G7" s="385" t="s">
        <v>273</v>
      </c>
      <c r="H7" s="385" t="s">
        <v>301</v>
      </c>
      <c r="I7" s="386" t="s">
        <v>302</v>
      </c>
      <c r="J7" s="387">
        <f t="shared" si="0"/>
        <v>13.125</v>
      </c>
      <c r="K7" s="384">
        <f>-1/8</f>
        <v>-0.125</v>
      </c>
      <c r="L7" s="310"/>
      <c r="M7" s="310"/>
      <c r="N7" s="314"/>
      <c r="O7" s="226" t="str">
        <f t="shared" si="1"/>
        <v>13 1/4</v>
      </c>
    </row>
    <row r="8" spans="1:15" s="226" customFormat="1" ht="111.6" customHeight="1">
      <c r="A8" s="224" t="s">
        <v>303</v>
      </c>
      <c r="B8" s="221" t="s">
        <v>304</v>
      </c>
      <c r="C8" s="224" t="s">
        <v>305</v>
      </c>
      <c r="D8" s="224" t="s">
        <v>306</v>
      </c>
      <c r="E8" s="221" t="s">
        <v>307</v>
      </c>
      <c r="F8" s="385" t="s">
        <v>281</v>
      </c>
      <c r="G8" s="385" t="s">
        <v>273</v>
      </c>
      <c r="H8" s="385" t="s">
        <v>301</v>
      </c>
      <c r="I8" s="386" t="s">
        <v>308</v>
      </c>
      <c r="J8" s="387">
        <f t="shared" si="0"/>
        <v>16.5</v>
      </c>
      <c r="K8" s="384">
        <v>-0.25</v>
      </c>
      <c r="L8" s="310"/>
      <c r="M8" s="310"/>
      <c r="N8" s="314"/>
      <c r="O8" s="226" t="str">
        <f t="shared" si="1"/>
        <v>16 3/4</v>
      </c>
    </row>
    <row r="9" spans="1:15" s="226" customFormat="1" ht="97.2">
      <c r="A9" s="224" t="s">
        <v>309</v>
      </c>
      <c r="B9" s="221" t="s">
        <v>310</v>
      </c>
      <c r="C9" s="224" t="s">
        <v>311</v>
      </c>
      <c r="D9" s="224" t="s">
        <v>312</v>
      </c>
      <c r="E9" s="221" t="s">
        <v>313</v>
      </c>
      <c r="F9" s="385" t="s">
        <v>281</v>
      </c>
      <c r="G9" s="385" t="s">
        <v>273</v>
      </c>
      <c r="H9" s="385" t="s">
        <v>314</v>
      </c>
      <c r="I9" s="386" t="s">
        <v>315</v>
      </c>
      <c r="J9" s="387">
        <f t="shared" si="0"/>
        <v>8</v>
      </c>
      <c r="K9" s="384">
        <v>0</v>
      </c>
      <c r="L9" s="310"/>
      <c r="M9" s="310"/>
      <c r="N9" s="314"/>
      <c r="O9" s="226" t="str">
        <f t="shared" si="1"/>
        <v>8</v>
      </c>
    </row>
    <row r="10" spans="1:15" s="226" customFormat="1" ht="97.2">
      <c r="A10" s="224" t="s">
        <v>316</v>
      </c>
      <c r="B10" s="221" t="s">
        <v>317</v>
      </c>
      <c r="C10" s="224" t="s">
        <v>271</v>
      </c>
      <c r="D10" s="224" t="s">
        <v>318</v>
      </c>
      <c r="E10" s="221" t="s">
        <v>319</v>
      </c>
      <c r="F10" s="385" t="s">
        <v>281</v>
      </c>
      <c r="G10" s="385" t="s">
        <v>273</v>
      </c>
      <c r="H10" s="385" t="s">
        <v>283</v>
      </c>
      <c r="I10" s="386" t="s">
        <v>320</v>
      </c>
      <c r="J10" s="387">
        <f t="shared" si="0"/>
        <v>46.5</v>
      </c>
      <c r="K10" s="384">
        <v>0.5</v>
      </c>
      <c r="L10" s="310"/>
      <c r="M10" s="310"/>
      <c r="N10" s="310"/>
      <c r="O10" s="226" t="str">
        <f t="shared" si="1"/>
        <v>46</v>
      </c>
    </row>
    <row r="11" spans="1:15" s="226" customFormat="1" ht="97.2">
      <c r="A11" s="224" t="s">
        <v>321</v>
      </c>
      <c r="B11" s="221" t="s">
        <v>322</v>
      </c>
      <c r="C11" s="224" t="s">
        <v>323</v>
      </c>
      <c r="D11" s="224" t="s">
        <v>324</v>
      </c>
      <c r="E11" s="221" t="s">
        <v>325</v>
      </c>
      <c r="F11" s="385" t="s">
        <v>281</v>
      </c>
      <c r="G11" s="385" t="s">
        <v>273</v>
      </c>
      <c r="H11" s="385" t="s">
        <v>283</v>
      </c>
      <c r="I11" s="386" t="s">
        <v>326</v>
      </c>
      <c r="J11" s="387">
        <f t="shared" si="0"/>
        <v>29.5</v>
      </c>
      <c r="K11" s="384">
        <v>0.5</v>
      </c>
      <c r="L11" s="310"/>
      <c r="M11" s="310"/>
      <c r="N11" s="314"/>
      <c r="O11" s="226" t="str">
        <f t="shared" si="1"/>
        <v>29</v>
      </c>
    </row>
    <row r="12" spans="1:15" s="226" customFormat="1" ht="64.8">
      <c r="A12" s="224" t="s">
        <v>327</v>
      </c>
      <c r="B12" s="221" t="s">
        <v>328</v>
      </c>
      <c r="C12" s="224" t="s">
        <v>329</v>
      </c>
      <c r="D12" s="224" t="s">
        <v>330</v>
      </c>
      <c r="E12" s="221" t="s">
        <v>331</v>
      </c>
      <c r="F12" s="385" t="s">
        <v>281</v>
      </c>
      <c r="G12" s="385" t="s">
        <v>273</v>
      </c>
      <c r="H12" s="385" t="s">
        <v>283</v>
      </c>
      <c r="I12" s="386" t="s">
        <v>332</v>
      </c>
      <c r="J12" s="387">
        <f t="shared" si="0"/>
        <v>29</v>
      </c>
      <c r="K12" s="384">
        <v>0.5</v>
      </c>
      <c r="L12" s="310"/>
      <c r="M12" s="310"/>
      <c r="N12" s="314"/>
      <c r="O12" s="226" t="str">
        <f t="shared" si="1"/>
        <v>28 1/2</v>
      </c>
    </row>
    <row r="13" spans="1:15" s="226" customFormat="1" ht="64.8">
      <c r="A13" s="224" t="s">
        <v>333</v>
      </c>
      <c r="B13" s="221" t="s">
        <v>334</v>
      </c>
      <c r="C13" s="224" t="s">
        <v>335</v>
      </c>
      <c r="D13" s="224"/>
      <c r="E13" s="221"/>
      <c r="F13" s="385" t="s">
        <v>272</v>
      </c>
      <c r="G13" s="385" t="s">
        <v>273</v>
      </c>
      <c r="H13" s="385" t="s">
        <v>274</v>
      </c>
      <c r="I13" s="386" t="s">
        <v>283</v>
      </c>
      <c r="J13" s="387">
        <v>0.625</v>
      </c>
      <c r="K13" s="384">
        <v>0.125</v>
      </c>
      <c r="L13" s="310"/>
      <c r="M13" s="310"/>
      <c r="N13" s="314"/>
      <c r="O13" s="226" t="str">
        <f t="shared" si="1"/>
        <v>1/2</v>
      </c>
    </row>
    <row r="14" spans="1:15" s="226" customFormat="1" ht="129.6">
      <c r="A14" s="224" t="s">
        <v>336</v>
      </c>
      <c r="B14" s="221" t="s">
        <v>337</v>
      </c>
      <c r="C14" s="224" t="s">
        <v>338</v>
      </c>
      <c r="D14" s="224" t="s">
        <v>339</v>
      </c>
      <c r="E14" s="221" t="s">
        <v>340</v>
      </c>
      <c r="F14" s="385" t="s">
        <v>281</v>
      </c>
      <c r="G14" s="385" t="s">
        <v>273</v>
      </c>
      <c r="H14" s="385" t="s">
        <v>301</v>
      </c>
      <c r="I14" s="386" t="s">
        <v>341</v>
      </c>
      <c r="J14" s="387">
        <f t="shared" si="0"/>
        <v>5.75</v>
      </c>
      <c r="K14" s="384">
        <v>-0.25</v>
      </c>
      <c r="L14" s="310"/>
      <c r="M14" s="310"/>
      <c r="N14" s="314"/>
      <c r="O14" s="226" t="str">
        <f t="shared" si="1"/>
        <v>6</v>
      </c>
    </row>
    <row r="15" spans="1:15" s="226" customFormat="1" ht="97.2">
      <c r="A15" s="224" t="s">
        <v>342</v>
      </c>
      <c r="B15" s="221" t="s">
        <v>343</v>
      </c>
      <c r="C15" s="224" t="s">
        <v>344</v>
      </c>
      <c r="D15" s="224"/>
      <c r="E15" s="221"/>
      <c r="F15" s="385" t="s">
        <v>272</v>
      </c>
      <c r="G15" s="385" t="s">
        <v>273</v>
      </c>
      <c r="H15" s="385" t="s">
        <v>274</v>
      </c>
      <c r="I15" s="386" t="s">
        <v>345</v>
      </c>
      <c r="J15" s="387">
        <f t="shared" si="0"/>
        <v>2.75</v>
      </c>
      <c r="K15" s="384">
        <v>0</v>
      </c>
      <c r="L15" s="310"/>
      <c r="M15" s="310"/>
      <c r="N15" s="314"/>
      <c r="O15" s="226" t="str">
        <f t="shared" si="1"/>
        <v>2 3/4</v>
      </c>
    </row>
    <row r="16" spans="1:15" s="226" customFormat="1" ht="64.8">
      <c r="A16" s="224" t="s">
        <v>346</v>
      </c>
      <c r="B16" s="221" t="s">
        <v>347</v>
      </c>
      <c r="C16" s="224" t="s">
        <v>348</v>
      </c>
      <c r="D16" s="224"/>
      <c r="E16" s="221"/>
      <c r="F16" s="385" t="s">
        <v>272</v>
      </c>
      <c r="G16" s="385" t="s">
        <v>273</v>
      </c>
      <c r="H16" s="385" t="s">
        <v>301</v>
      </c>
      <c r="I16" s="386" t="s">
        <v>349</v>
      </c>
      <c r="J16" s="387">
        <f t="shared" si="0"/>
        <v>6.5</v>
      </c>
      <c r="K16" s="384">
        <v>0</v>
      </c>
      <c r="L16" s="310"/>
      <c r="M16" s="310"/>
      <c r="N16" s="314"/>
      <c r="O16" s="226" t="str">
        <f t="shared" si="1"/>
        <v>6 1/2</v>
      </c>
    </row>
    <row r="17" spans="1:15" s="242" customFormat="1" ht="97.2">
      <c r="A17" s="239" t="s">
        <v>350</v>
      </c>
      <c r="B17" s="221" t="s">
        <v>351</v>
      </c>
      <c r="C17" s="239" t="s">
        <v>271</v>
      </c>
      <c r="D17" s="239"/>
      <c r="E17" s="221"/>
      <c r="F17" s="385" t="s">
        <v>272</v>
      </c>
      <c r="G17" s="385" t="s">
        <v>273</v>
      </c>
      <c r="H17" s="385" t="s">
        <v>274</v>
      </c>
      <c r="I17" s="386" t="s">
        <v>352</v>
      </c>
      <c r="J17" s="387">
        <f t="shared" si="0"/>
        <v>3.75</v>
      </c>
      <c r="K17" s="384">
        <v>-0.125</v>
      </c>
      <c r="L17" s="310"/>
      <c r="M17" s="310"/>
      <c r="N17" s="314"/>
      <c r="O17" s="226" t="str">
        <f t="shared" si="1"/>
        <v>3 7/8</v>
      </c>
    </row>
    <row r="18" spans="1:15" s="226" customFormat="1" ht="97.2">
      <c r="A18" s="224" t="s">
        <v>353</v>
      </c>
      <c r="B18" s="221" t="s">
        <v>354</v>
      </c>
      <c r="C18" s="224" t="s">
        <v>271</v>
      </c>
      <c r="D18" s="224"/>
      <c r="E18" s="221"/>
      <c r="F18" s="385" t="s">
        <v>272</v>
      </c>
      <c r="G18" s="385" t="s">
        <v>273</v>
      </c>
      <c r="H18" s="385" t="s">
        <v>274</v>
      </c>
      <c r="I18" s="386" t="s">
        <v>355</v>
      </c>
      <c r="J18" s="387">
        <f t="shared" si="0"/>
        <v>3.5</v>
      </c>
      <c r="K18" s="384">
        <v>-0.125</v>
      </c>
      <c r="L18" s="310"/>
      <c r="M18" s="310"/>
      <c r="N18" s="310"/>
      <c r="O18" s="226" t="str">
        <f t="shared" si="1"/>
        <v>3 5/8</v>
      </c>
    </row>
    <row r="19" spans="1:15" s="226" customFormat="1" ht="64.8">
      <c r="A19" s="224" t="s">
        <v>356</v>
      </c>
      <c r="B19" s="221" t="s">
        <v>357</v>
      </c>
      <c r="C19" s="224" t="s">
        <v>358</v>
      </c>
      <c r="D19" s="224" t="s">
        <v>359</v>
      </c>
      <c r="E19" s="221" t="s">
        <v>360</v>
      </c>
      <c r="F19" s="385" t="s">
        <v>272</v>
      </c>
      <c r="G19" s="385" t="s">
        <v>273</v>
      </c>
      <c r="H19" s="385" t="s">
        <v>274</v>
      </c>
      <c r="I19" s="386" t="s">
        <v>275</v>
      </c>
      <c r="J19" s="387">
        <f t="shared" si="0"/>
        <v>2.25</v>
      </c>
      <c r="K19" s="384">
        <v>0</v>
      </c>
      <c r="L19" s="310"/>
      <c r="M19" s="310"/>
      <c r="N19" s="310"/>
      <c r="O19" s="226" t="str">
        <f t="shared" si="1"/>
        <v>2 1/4</v>
      </c>
    </row>
    <row r="20" spans="1:15" s="226" customFormat="1" ht="64.8">
      <c r="A20" s="224" t="s">
        <v>361</v>
      </c>
      <c r="B20" s="221" t="s">
        <v>362</v>
      </c>
      <c r="C20" s="224" t="s">
        <v>363</v>
      </c>
      <c r="D20" s="224"/>
      <c r="E20" s="221"/>
      <c r="F20" s="385" t="s">
        <v>281</v>
      </c>
      <c r="G20" s="385" t="s">
        <v>273</v>
      </c>
      <c r="H20" s="385" t="s">
        <v>301</v>
      </c>
      <c r="I20" s="386" t="s">
        <v>341</v>
      </c>
      <c r="J20" s="387">
        <f t="shared" si="0"/>
        <v>6</v>
      </c>
      <c r="K20" s="384">
        <v>0</v>
      </c>
      <c r="L20" s="310"/>
      <c r="M20" s="310"/>
      <c r="N20" s="310"/>
      <c r="O20" s="226" t="str">
        <f t="shared" si="1"/>
        <v>6</v>
      </c>
    </row>
    <row r="21" spans="1:15" s="226" customFormat="1" ht="64.8">
      <c r="A21" s="224" t="s">
        <v>364</v>
      </c>
      <c r="B21" s="221" t="s">
        <v>365</v>
      </c>
      <c r="C21" s="224" t="s">
        <v>366</v>
      </c>
      <c r="D21" s="224"/>
      <c r="E21" s="221"/>
      <c r="F21" s="385" t="s">
        <v>281</v>
      </c>
      <c r="G21" s="385" t="s">
        <v>273</v>
      </c>
      <c r="H21" s="385" t="s">
        <v>301</v>
      </c>
      <c r="I21" s="386" t="s">
        <v>367</v>
      </c>
      <c r="J21" s="387">
        <f t="shared" si="0"/>
        <v>5.5</v>
      </c>
      <c r="K21" s="384">
        <v>0.125</v>
      </c>
      <c r="L21" s="310"/>
      <c r="M21" s="310"/>
      <c r="N21" s="316"/>
      <c r="O21" s="226" t="str">
        <f t="shared" si="1"/>
        <v>5 3/8</v>
      </c>
    </row>
  </sheetData>
  <pageMargins left="0.25" right="0.25" top="0.75" bottom="0.75" header="0.3" footer="0.3"/>
  <pageSetup paperSize="9" scale="3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7C7DA-4E88-489D-9662-7C9A2B61191D}">
  <sheetPr>
    <pageSetUpPr fitToPage="1"/>
  </sheetPr>
  <dimension ref="A1:N19"/>
  <sheetViews>
    <sheetView view="pageBreakPreview" topLeftCell="A9" zoomScale="40" zoomScaleNormal="85" zoomScaleSheetLayoutView="40" workbookViewId="0">
      <selection activeCell="E9" sqref="E9"/>
    </sheetView>
  </sheetViews>
  <sheetFormatPr defaultColWidth="8.88671875" defaultRowHeight="13.2"/>
  <cols>
    <col min="1" max="1" width="65.109375" style="222" customWidth="1"/>
    <col min="2" max="2" width="57.88671875" style="222" customWidth="1"/>
    <col min="3" max="3" width="19" style="222" customWidth="1"/>
    <col min="4" max="4" width="57.88671875" style="222" customWidth="1"/>
    <col min="5" max="5" width="62.109375" style="222" customWidth="1"/>
    <col min="6" max="6" width="26" style="250" customWidth="1"/>
    <col min="7" max="7" width="13.5546875" style="250" customWidth="1"/>
    <col min="8" max="8" width="30.44140625" style="250" customWidth="1"/>
    <col min="9" max="13" width="22.88671875" style="250" customWidth="1"/>
    <col min="14" max="14" width="40.6640625" style="222" customWidth="1"/>
    <col min="15" max="16384" width="8.88671875" style="222"/>
  </cols>
  <sheetData>
    <row r="1" spans="1:14" s="216" customFormat="1" ht="61.2">
      <c r="A1" s="214" t="str">
        <f>'1. CUTTING DOCKET'!D7</f>
        <v xml:space="preserve">SS25WR000 </v>
      </c>
      <c r="B1" s="215"/>
      <c r="D1" s="214" t="s">
        <v>256</v>
      </c>
      <c r="E1" s="217"/>
      <c r="F1" s="251"/>
      <c r="G1" s="251"/>
      <c r="H1" s="251"/>
      <c r="I1" s="248"/>
      <c r="J1" s="248"/>
      <c r="K1" s="248"/>
      <c r="L1" s="248"/>
      <c r="M1" s="248"/>
    </row>
    <row r="2" spans="1:14" s="220" customFormat="1" ht="56.4">
      <c r="A2" s="218" t="s">
        <v>257</v>
      </c>
      <c r="B2" s="219"/>
      <c r="C2" s="219" t="s">
        <v>258</v>
      </c>
      <c r="D2" s="219" t="s">
        <v>259</v>
      </c>
      <c r="E2" s="219"/>
      <c r="F2" s="219" t="s">
        <v>260</v>
      </c>
      <c r="G2" s="219" t="s">
        <v>261</v>
      </c>
      <c r="H2" s="219" t="s">
        <v>262</v>
      </c>
      <c r="I2" s="219" t="s">
        <v>263</v>
      </c>
      <c r="J2" s="219" t="s">
        <v>264</v>
      </c>
      <c r="K2" s="219" t="s">
        <v>265</v>
      </c>
      <c r="L2" s="219" t="s">
        <v>266</v>
      </c>
      <c r="M2" s="219" t="s">
        <v>267</v>
      </c>
      <c r="N2" s="219" t="s">
        <v>268</v>
      </c>
    </row>
    <row r="3" spans="1:14" s="226" customFormat="1" ht="64.8">
      <c r="A3" s="224" t="s">
        <v>269</v>
      </c>
      <c r="B3" s="221" t="s">
        <v>270</v>
      </c>
      <c r="C3" s="224" t="s">
        <v>271</v>
      </c>
      <c r="D3" s="224"/>
      <c r="E3" s="221"/>
      <c r="F3" s="246" t="s">
        <v>272</v>
      </c>
      <c r="G3" s="246" t="s">
        <v>273</v>
      </c>
      <c r="H3" s="246" t="s">
        <v>274</v>
      </c>
      <c r="I3" s="247" t="s">
        <v>368</v>
      </c>
      <c r="J3" s="247" t="s">
        <v>368</v>
      </c>
      <c r="K3" s="247" t="s">
        <v>314</v>
      </c>
      <c r="L3" s="247" t="s">
        <v>314</v>
      </c>
      <c r="M3" s="247" t="s">
        <v>368</v>
      </c>
      <c r="N3" s="225"/>
    </row>
    <row r="4" spans="1:14" s="226" customFormat="1" ht="64.8">
      <c r="A4" s="224" t="s">
        <v>276</v>
      </c>
      <c r="B4" s="221" t="s">
        <v>277</v>
      </c>
      <c r="C4" s="224" t="s">
        <v>278</v>
      </c>
      <c r="D4" s="224" t="s">
        <v>279</v>
      </c>
      <c r="E4" s="221" t="s">
        <v>369</v>
      </c>
      <c r="F4" s="246" t="s">
        <v>281</v>
      </c>
      <c r="G4" s="246" t="s">
        <v>282</v>
      </c>
      <c r="H4" s="246" t="s">
        <v>283</v>
      </c>
      <c r="I4" s="247" t="s">
        <v>284</v>
      </c>
      <c r="J4" s="247" t="s">
        <v>370</v>
      </c>
      <c r="K4" s="247" t="s">
        <v>371</v>
      </c>
      <c r="L4" s="247" t="s">
        <v>314</v>
      </c>
      <c r="M4" s="247" t="s">
        <v>284</v>
      </c>
      <c r="N4" s="225"/>
    </row>
    <row r="5" spans="1:14" s="226" customFormat="1" ht="64.8">
      <c r="A5" s="224" t="s">
        <v>285</v>
      </c>
      <c r="B5" s="221" t="s">
        <v>286</v>
      </c>
      <c r="C5" s="224" t="s">
        <v>287</v>
      </c>
      <c r="D5" s="224" t="s">
        <v>288</v>
      </c>
      <c r="E5" s="221" t="s">
        <v>369</v>
      </c>
      <c r="F5" s="246" t="s">
        <v>281</v>
      </c>
      <c r="G5" s="246" t="s">
        <v>273</v>
      </c>
      <c r="H5" s="246" t="s">
        <v>283</v>
      </c>
      <c r="I5" s="247" t="s">
        <v>290</v>
      </c>
      <c r="J5" s="247" t="s">
        <v>290</v>
      </c>
      <c r="K5" s="247" t="s">
        <v>314</v>
      </c>
      <c r="L5" s="247" t="s">
        <v>314</v>
      </c>
      <c r="M5" s="247" t="s">
        <v>290</v>
      </c>
      <c r="N5" s="225"/>
    </row>
    <row r="6" spans="1:14" s="226" customFormat="1" ht="64.8">
      <c r="A6" s="224" t="s">
        <v>291</v>
      </c>
      <c r="B6" s="221" t="s">
        <v>292</v>
      </c>
      <c r="C6" s="224" t="s">
        <v>293</v>
      </c>
      <c r="D6" s="224"/>
      <c r="E6" s="221"/>
      <c r="F6" s="246" t="s">
        <v>272</v>
      </c>
      <c r="G6" s="246" t="s">
        <v>273</v>
      </c>
      <c r="H6" s="246" t="s">
        <v>294</v>
      </c>
      <c r="I6" s="247" t="s">
        <v>295</v>
      </c>
      <c r="J6" s="247" t="s">
        <v>295</v>
      </c>
      <c r="K6" s="247" t="s">
        <v>314</v>
      </c>
      <c r="L6" s="247" t="s">
        <v>314</v>
      </c>
      <c r="M6" s="247" t="s">
        <v>295</v>
      </c>
      <c r="N6" s="225"/>
    </row>
    <row r="7" spans="1:14" s="226" customFormat="1" ht="84.6">
      <c r="A7" s="224" t="s">
        <v>296</v>
      </c>
      <c r="B7" s="221" t="s">
        <v>297</v>
      </c>
      <c r="C7" s="224" t="s">
        <v>298</v>
      </c>
      <c r="D7" s="227" t="s">
        <v>372</v>
      </c>
      <c r="E7" s="221" t="s">
        <v>373</v>
      </c>
      <c r="F7" s="246" t="s">
        <v>281</v>
      </c>
      <c r="G7" s="246" t="s">
        <v>273</v>
      </c>
      <c r="H7" s="246" t="s">
        <v>301</v>
      </c>
      <c r="I7" s="247" t="s">
        <v>302</v>
      </c>
      <c r="J7" s="247" t="s">
        <v>302</v>
      </c>
      <c r="K7" s="247" t="s">
        <v>314</v>
      </c>
      <c r="L7" s="247" t="s">
        <v>374</v>
      </c>
      <c r="M7" s="247" t="s">
        <v>375</v>
      </c>
      <c r="N7" s="238" t="s">
        <v>376</v>
      </c>
    </row>
    <row r="8" spans="1:14" s="226" customFormat="1" ht="111.6" customHeight="1">
      <c r="A8" s="224" t="s">
        <v>303</v>
      </c>
      <c r="B8" s="221" t="s">
        <v>304</v>
      </c>
      <c r="C8" s="224" t="s">
        <v>305</v>
      </c>
      <c r="D8" s="224" t="s">
        <v>306</v>
      </c>
      <c r="E8" s="221" t="s">
        <v>307</v>
      </c>
      <c r="F8" s="246" t="s">
        <v>281</v>
      </c>
      <c r="G8" s="246" t="s">
        <v>273</v>
      </c>
      <c r="H8" s="246" t="s">
        <v>301</v>
      </c>
      <c r="I8" s="247" t="s">
        <v>308</v>
      </c>
      <c r="J8" s="247" t="s">
        <v>377</v>
      </c>
      <c r="K8" s="247" t="s">
        <v>301</v>
      </c>
      <c r="L8" s="247" t="s">
        <v>378</v>
      </c>
      <c r="M8" s="247" t="s">
        <v>379</v>
      </c>
      <c r="N8" s="238" t="s">
        <v>376</v>
      </c>
    </row>
    <row r="9" spans="1:14" s="226" customFormat="1" ht="97.2">
      <c r="A9" s="224" t="s">
        <v>309</v>
      </c>
      <c r="B9" s="221" t="s">
        <v>310</v>
      </c>
      <c r="C9" s="224" t="s">
        <v>311</v>
      </c>
      <c r="D9" s="224" t="s">
        <v>312</v>
      </c>
      <c r="E9" s="221" t="s">
        <v>313</v>
      </c>
      <c r="F9" s="246" t="s">
        <v>281</v>
      </c>
      <c r="G9" s="246" t="s">
        <v>273</v>
      </c>
      <c r="H9" s="246" t="s">
        <v>314</v>
      </c>
      <c r="I9" s="247" t="s">
        <v>315</v>
      </c>
      <c r="J9" s="247" t="s">
        <v>315</v>
      </c>
      <c r="K9" s="247" t="s">
        <v>314</v>
      </c>
      <c r="L9" s="247" t="s">
        <v>314</v>
      </c>
      <c r="M9" s="247" t="s">
        <v>315</v>
      </c>
      <c r="N9" s="225"/>
    </row>
    <row r="10" spans="1:14" s="226" customFormat="1" ht="97.2">
      <c r="A10" s="224" t="s">
        <v>316</v>
      </c>
      <c r="B10" s="221" t="s">
        <v>317</v>
      </c>
      <c r="C10" s="224" t="s">
        <v>271</v>
      </c>
      <c r="D10" s="224" t="s">
        <v>318</v>
      </c>
      <c r="E10" s="221" t="s">
        <v>319</v>
      </c>
      <c r="F10" s="246" t="s">
        <v>281</v>
      </c>
      <c r="G10" s="246" t="s">
        <v>273</v>
      </c>
      <c r="H10" s="246" t="s">
        <v>283</v>
      </c>
      <c r="I10" s="247" t="s">
        <v>320</v>
      </c>
      <c r="J10" s="247" t="s">
        <v>320</v>
      </c>
      <c r="K10" s="247" t="s">
        <v>314</v>
      </c>
      <c r="L10" s="247" t="s">
        <v>314</v>
      </c>
      <c r="M10" s="247" t="s">
        <v>320</v>
      </c>
      <c r="N10" s="238"/>
    </row>
    <row r="11" spans="1:14" s="226" customFormat="1" ht="97.2">
      <c r="A11" s="224" t="s">
        <v>321</v>
      </c>
      <c r="B11" s="221" t="s">
        <v>322</v>
      </c>
      <c r="C11" s="224" t="s">
        <v>323</v>
      </c>
      <c r="D11" s="224" t="s">
        <v>380</v>
      </c>
      <c r="E11" s="221" t="s">
        <v>325</v>
      </c>
      <c r="F11" s="246" t="s">
        <v>281</v>
      </c>
      <c r="G11" s="246" t="s">
        <v>273</v>
      </c>
      <c r="H11" s="246" t="s">
        <v>283</v>
      </c>
      <c r="I11" s="247" t="s">
        <v>326</v>
      </c>
      <c r="J11" s="247" t="s">
        <v>326</v>
      </c>
      <c r="K11" s="247" t="s">
        <v>314</v>
      </c>
      <c r="L11" s="247" t="s">
        <v>314</v>
      </c>
      <c r="M11" s="247" t="s">
        <v>326</v>
      </c>
      <c r="N11" s="225"/>
    </row>
    <row r="12" spans="1:14" s="226" customFormat="1" ht="64.8">
      <c r="A12" s="224" t="s">
        <v>327</v>
      </c>
      <c r="B12" s="221" t="s">
        <v>328</v>
      </c>
      <c r="C12" s="224" t="s">
        <v>329</v>
      </c>
      <c r="D12" s="224" t="s">
        <v>330</v>
      </c>
      <c r="E12" s="221" t="s">
        <v>381</v>
      </c>
      <c r="F12" s="246" t="s">
        <v>281</v>
      </c>
      <c r="G12" s="246" t="s">
        <v>273</v>
      </c>
      <c r="H12" s="246" t="s">
        <v>283</v>
      </c>
      <c r="I12" s="247" t="s">
        <v>332</v>
      </c>
      <c r="J12" s="247" t="s">
        <v>382</v>
      </c>
      <c r="K12" s="247" t="s">
        <v>301</v>
      </c>
      <c r="L12" s="247" t="s">
        <v>314</v>
      </c>
      <c r="M12" s="247" t="s">
        <v>332</v>
      </c>
      <c r="N12" s="225"/>
    </row>
    <row r="13" spans="1:14" s="226" customFormat="1" ht="64.8">
      <c r="A13" s="224" t="s">
        <v>333</v>
      </c>
      <c r="B13" s="221" t="s">
        <v>334</v>
      </c>
      <c r="C13" s="224" t="s">
        <v>335</v>
      </c>
      <c r="D13" s="224"/>
      <c r="E13" s="221"/>
      <c r="F13" s="246" t="s">
        <v>272</v>
      </c>
      <c r="G13" s="246" t="s">
        <v>273</v>
      </c>
      <c r="H13" s="246" t="s">
        <v>274</v>
      </c>
      <c r="I13" s="247" t="s">
        <v>283</v>
      </c>
      <c r="J13" s="247" t="s">
        <v>283</v>
      </c>
      <c r="K13" s="247" t="s">
        <v>314</v>
      </c>
      <c r="L13" s="247" t="s">
        <v>283</v>
      </c>
      <c r="M13" s="247" t="s">
        <v>294</v>
      </c>
      <c r="N13" s="238" t="s">
        <v>383</v>
      </c>
    </row>
    <row r="14" spans="1:14" s="226" customFormat="1" ht="129.6">
      <c r="A14" s="224" t="s">
        <v>336</v>
      </c>
      <c r="B14" s="221" t="s">
        <v>337</v>
      </c>
      <c r="C14" s="224" t="s">
        <v>338</v>
      </c>
      <c r="D14" s="224" t="s">
        <v>339</v>
      </c>
      <c r="E14" s="221" t="s">
        <v>340</v>
      </c>
      <c r="F14" s="246" t="s">
        <v>281</v>
      </c>
      <c r="G14" s="246" t="s">
        <v>273</v>
      </c>
      <c r="H14" s="246" t="s">
        <v>301</v>
      </c>
      <c r="I14" s="247" t="s">
        <v>341</v>
      </c>
      <c r="J14" s="247" t="s">
        <v>384</v>
      </c>
      <c r="K14" s="247" t="s">
        <v>274</v>
      </c>
      <c r="L14" s="247" t="s">
        <v>385</v>
      </c>
      <c r="M14" s="247" t="s">
        <v>386</v>
      </c>
      <c r="N14" s="238" t="s">
        <v>376</v>
      </c>
    </row>
    <row r="15" spans="1:14" s="226" customFormat="1" ht="97.2">
      <c r="A15" s="224" t="s">
        <v>342</v>
      </c>
      <c r="B15" s="221" t="s">
        <v>387</v>
      </c>
      <c r="C15" s="224" t="s">
        <v>344</v>
      </c>
      <c r="D15" s="224"/>
      <c r="E15" s="221"/>
      <c r="F15" s="246" t="s">
        <v>272</v>
      </c>
      <c r="G15" s="246" t="s">
        <v>273</v>
      </c>
      <c r="H15" s="246" t="s">
        <v>274</v>
      </c>
      <c r="I15" s="247" t="s">
        <v>275</v>
      </c>
      <c r="J15" s="247" t="s">
        <v>388</v>
      </c>
      <c r="K15" s="247" t="s">
        <v>389</v>
      </c>
      <c r="L15" s="247" t="s">
        <v>314</v>
      </c>
      <c r="M15" s="247" t="s">
        <v>275</v>
      </c>
      <c r="N15" s="225"/>
    </row>
    <row r="16" spans="1:14" s="226" customFormat="1" ht="64.8">
      <c r="A16" s="224" t="s">
        <v>346</v>
      </c>
      <c r="B16" s="221" t="s">
        <v>347</v>
      </c>
      <c r="C16" s="224" t="s">
        <v>348</v>
      </c>
      <c r="D16" s="224"/>
      <c r="E16" s="221"/>
      <c r="F16" s="246" t="s">
        <v>272</v>
      </c>
      <c r="G16" s="246" t="s">
        <v>273</v>
      </c>
      <c r="H16" s="246" t="s">
        <v>301</v>
      </c>
      <c r="I16" s="247" t="s">
        <v>349</v>
      </c>
      <c r="J16" s="247" t="s">
        <v>390</v>
      </c>
      <c r="K16" s="247" t="s">
        <v>389</v>
      </c>
      <c r="L16" s="247" t="s">
        <v>314</v>
      </c>
      <c r="M16" s="247" t="s">
        <v>349</v>
      </c>
      <c r="N16" s="225"/>
    </row>
    <row r="17" spans="1:14" s="242" customFormat="1" ht="32.4">
      <c r="A17" s="239" t="s">
        <v>391</v>
      </c>
      <c r="B17" s="240" t="s">
        <v>392</v>
      </c>
      <c r="C17" s="239" t="s">
        <v>271</v>
      </c>
      <c r="D17" s="239"/>
      <c r="E17" s="240"/>
      <c r="F17" s="249" t="s">
        <v>272</v>
      </c>
      <c r="G17" s="249" t="s">
        <v>273</v>
      </c>
      <c r="H17" s="249" t="s">
        <v>301</v>
      </c>
      <c r="I17" s="249" t="s">
        <v>393</v>
      </c>
      <c r="J17" s="249" t="s">
        <v>394</v>
      </c>
      <c r="K17" s="249" t="s">
        <v>389</v>
      </c>
      <c r="L17" s="249" t="s">
        <v>314</v>
      </c>
      <c r="M17" s="249" t="s">
        <v>393</v>
      </c>
      <c r="N17" s="241"/>
    </row>
    <row r="18" spans="1:14" s="226" customFormat="1" ht="97.2">
      <c r="A18" s="224" t="s">
        <v>395</v>
      </c>
      <c r="B18" s="244" t="s">
        <v>396</v>
      </c>
      <c r="C18" s="224" t="s">
        <v>271</v>
      </c>
      <c r="D18" s="224" t="s">
        <v>397</v>
      </c>
      <c r="E18" s="245" t="s">
        <v>398</v>
      </c>
      <c r="F18" s="246" t="s">
        <v>272</v>
      </c>
      <c r="G18" s="246" t="s">
        <v>273</v>
      </c>
      <c r="H18" s="246" t="s">
        <v>274</v>
      </c>
      <c r="I18" s="247" t="s">
        <v>399</v>
      </c>
      <c r="J18" s="247" t="s">
        <v>399</v>
      </c>
      <c r="K18" s="247" t="s">
        <v>314</v>
      </c>
      <c r="L18" s="247" t="s">
        <v>314</v>
      </c>
      <c r="M18" s="247" t="s">
        <v>399</v>
      </c>
      <c r="N18" s="225"/>
    </row>
    <row r="19" spans="1:14" s="226" customFormat="1" ht="97.2">
      <c r="A19" s="224" t="s">
        <v>400</v>
      </c>
      <c r="B19" s="245" t="s">
        <v>401</v>
      </c>
      <c r="C19" s="224" t="s">
        <v>271</v>
      </c>
      <c r="D19" s="224" t="s">
        <v>397</v>
      </c>
      <c r="E19" s="245" t="s">
        <v>398</v>
      </c>
      <c r="F19" s="246" t="s">
        <v>272</v>
      </c>
      <c r="G19" s="246" t="s">
        <v>273</v>
      </c>
      <c r="H19" s="246" t="s">
        <v>274</v>
      </c>
      <c r="I19" s="247" t="s">
        <v>275</v>
      </c>
      <c r="J19" s="247" t="s">
        <v>275</v>
      </c>
      <c r="K19" s="247" t="s">
        <v>314</v>
      </c>
      <c r="L19" s="247" t="s">
        <v>371</v>
      </c>
      <c r="M19" s="247" t="s">
        <v>368</v>
      </c>
      <c r="N19" s="238" t="s">
        <v>402</v>
      </c>
    </row>
  </sheetData>
  <pageMargins left="0.25" right="0.25" top="0.75" bottom="0.75" header="0.3" footer="0.3"/>
  <pageSetup paperSize="9" scale="2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09375" defaultRowHeight="24"/>
  <cols>
    <col min="1" max="1" width="64.44140625" style="79" customWidth="1"/>
    <col min="2" max="2" width="81.109375" style="80" hidden="1" customWidth="1"/>
    <col min="3" max="3" width="206" style="80" customWidth="1"/>
    <col min="4" max="4" width="70.88671875" style="80" hidden="1" customWidth="1"/>
    <col min="5" max="5" width="74.88671875" style="80" hidden="1" customWidth="1"/>
    <col min="6" max="16384" width="9.1093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A15  SS25   S2734</v>
      </c>
      <c r="C2" s="73" t="s">
        <v>10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 xml:space="preserve">SS25WR000 </v>
      </c>
      <c r="C3" s="75" t="s">
        <v>12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Paneled Basketball Short</v>
      </c>
      <c r="C4" s="75" t="s">
        <v>14</v>
      </c>
      <c r="D4" s="75"/>
      <c r="E4" s="75"/>
    </row>
    <row r="5" spans="1:12" s="74" customFormat="1" ht="75.900000000000006" customHeight="1">
      <c r="A5" s="76"/>
      <c r="B5" s="142" t="str">
        <f>'1. CUTTING DOCKET'!$D$22</f>
        <v>PRISTINE</v>
      </c>
      <c r="C5" s="142" t="e">
        <f>'1. CUTTING DOCKET'!#REF!</f>
        <v>#REF!</v>
      </c>
      <c r="D5" s="142" t="str">
        <f>'1. CUTTING DOCKET'!$D$32</f>
        <v>Laurel Oak / Pristine</v>
      </c>
      <c r="E5" s="142" t="e">
        <f>'1. CUTTING DOCKET'!#REF!</f>
        <v>#REF!</v>
      </c>
    </row>
    <row r="6" spans="1:12" s="77" customFormat="1" ht="69.75" customHeight="1">
      <c r="A6" s="144" t="s">
        <v>403</v>
      </c>
      <c r="B6" s="144" t="e">
        <f>'1. CUTTING DOCKET'!#REF!</f>
        <v>#REF!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373" t="s">
        <v>246</v>
      </c>
      <c r="B7" s="572" t="str">
        <f>'1. CUTTING DOCKET'!M11</f>
        <v>MESH 100% POLY 224gsm</v>
      </c>
      <c r="C7" s="573"/>
      <c r="D7" s="573"/>
      <c r="E7" s="574"/>
    </row>
    <row r="8" spans="1:12" s="77" customFormat="1" ht="409.6" customHeight="1">
      <c r="A8" s="145" t="e">
        <f>'1. CUTTING DOCKET'!#REF!</f>
        <v>#REF!</v>
      </c>
      <c r="B8" s="575"/>
      <c r="C8" s="576"/>
      <c r="D8" s="576"/>
      <c r="E8" s="577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572" t="e">
        <f>'1. CUTTING DOCKET'!#REF!</f>
        <v>#REF!</v>
      </c>
      <c r="C13" s="573"/>
      <c r="D13" s="574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575"/>
      <c r="C14" s="576"/>
      <c r="D14" s="576"/>
      <c r="E14" s="374"/>
      <c r="L14" s="78"/>
    </row>
    <row r="15" spans="1:12" s="77" customFormat="1" ht="74.25" customHeight="1">
      <c r="A15" s="144" t="s">
        <v>247</v>
      </c>
      <c r="B15" s="148" t="str">
        <f>'1. CUTTING DOCKET'!$F$54</f>
        <v>JET BLACK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84</v>
      </c>
      <c r="B16" s="143">
        <f>'1. CUTTING DOCKET'!$G$54</f>
        <v>0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str">
        <f>'1. CUTTING DOCKET'!B63</f>
        <v>NHÃN CHÍNH ALD - ML03</v>
      </c>
      <c r="B17" s="578">
        <f>'1. CUTTING DOCKET'!G63</f>
        <v>0</v>
      </c>
      <c r="C17" s="579"/>
      <c r="D17" s="579"/>
      <c r="E17" s="580"/>
    </row>
    <row r="18" spans="1:5" s="77" customFormat="1" ht="90" customHeight="1">
      <c r="A18" s="144" t="str">
        <f>'1. CUTTING DOCKET'!B69</f>
        <v>DÂY PIPING</v>
      </c>
      <c r="B18" s="558" t="str">
        <f>'1. CUTTING DOCKET'!F69</f>
        <v>BRIGHT WHITE</v>
      </c>
      <c r="C18" s="559"/>
      <c r="D18" s="559"/>
      <c r="E18" s="562"/>
    </row>
    <row r="19" spans="1:5" s="77" customFormat="1" ht="409.6" customHeight="1">
      <c r="A19" s="149" t="s">
        <v>404</v>
      </c>
      <c r="B19" s="560"/>
      <c r="C19" s="561"/>
      <c r="D19" s="561"/>
      <c r="E19" s="561"/>
    </row>
    <row r="20" spans="1:5" s="77" customFormat="1" ht="79.5" customHeight="1">
      <c r="A20" s="144" t="e">
        <f>'1. CUTTING DOCKET'!#REF!</f>
        <v>#REF!</v>
      </c>
      <c r="B20" s="558" t="e">
        <f>'1. CUTTING DOCKET'!#REF!</f>
        <v>#REF!</v>
      </c>
      <c r="C20" s="559"/>
      <c r="D20" s="559"/>
      <c r="E20" s="562"/>
    </row>
    <row r="21" spans="1:5" s="77" customFormat="1" ht="346.5" customHeight="1">
      <c r="A21" s="145" t="s">
        <v>405</v>
      </c>
      <c r="B21" s="563"/>
      <c r="C21" s="564"/>
      <c r="D21" s="564"/>
      <c r="E21" s="565"/>
    </row>
    <row r="22" spans="1:5" s="77" customFormat="1" ht="41.4">
      <c r="A22" s="144" t="e">
        <f>'1. CUTTING DOCKET'!#REF!</f>
        <v>#REF!</v>
      </c>
      <c r="B22" s="558" t="e">
        <f>'1. CUTTING DOCKET'!#REF!</f>
        <v>#REF!</v>
      </c>
      <c r="C22" s="559"/>
      <c r="D22" s="559"/>
      <c r="E22" s="375"/>
    </row>
    <row r="23" spans="1:5" s="77" customFormat="1" ht="299.25" customHeight="1">
      <c r="A23" s="149" t="s">
        <v>406</v>
      </c>
      <c r="B23" s="566"/>
      <c r="C23" s="567"/>
      <c r="D23" s="567"/>
      <c r="E23" s="567"/>
    </row>
    <row r="24" spans="1:5" s="77" customFormat="1" ht="101.4" customHeight="1">
      <c r="A24" s="144" t="e">
        <f>'1. CUTTING DOCKET'!#REF!</f>
        <v>#REF!</v>
      </c>
      <c r="B24" s="558" t="e">
        <f>'1. CUTTING DOCKET'!#REF!</f>
        <v>#REF!</v>
      </c>
      <c r="C24" s="559"/>
      <c r="D24" s="559"/>
      <c r="E24" s="375"/>
    </row>
    <row r="25" spans="1:5" s="77" customFormat="1" ht="362.25" customHeight="1">
      <c r="A25" s="149" t="s">
        <v>407</v>
      </c>
      <c r="B25" s="568" t="s">
        <v>408</v>
      </c>
      <c r="C25" s="569"/>
      <c r="D25" s="569"/>
      <c r="E25" s="376"/>
    </row>
    <row r="26" spans="1:5" s="77" customFormat="1" ht="109.5" customHeight="1">
      <c r="A26" s="144" t="s">
        <v>409</v>
      </c>
      <c r="B26" s="558" t="str">
        <f>'1. CUTTING DOCKET'!F80</f>
        <v>WHITE</v>
      </c>
      <c r="C26" s="559"/>
      <c r="D26" s="559"/>
      <c r="E26" s="377"/>
    </row>
    <row r="27" spans="1:5" s="77" customFormat="1" ht="282" customHeight="1">
      <c r="A27" s="149" t="s">
        <v>410</v>
      </c>
      <c r="B27" s="570" t="s">
        <v>411</v>
      </c>
      <c r="C27" s="571"/>
      <c r="D27" s="571"/>
      <c r="E27" s="571"/>
    </row>
    <row r="28" spans="1:5" s="77" customFormat="1" ht="93.6" customHeight="1">
      <c r="A28" s="144" t="str">
        <f>'1. CUTTING DOCKET'!B83</f>
        <v>THẺ BÀI ALD ALD-T06P</v>
      </c>
      <c r="B28" s="558" t="str">
        <f>'1. CUTTING DOCKET'!F83</f>
        <v>WHITE</v>
      </c>
      <c r="C28" s="559"/>
      <c r="D28" s="559"/>
      <c r="E28" s="377"/>
    </row>
    <row r="29" spans="1:5" s="77" customFormat="1" ht="273" customHeight="1">
      <c r="A29" s="145" t="s">
        <v>412</v>
      </c>
      <c r="B29" s="552"/>
      <c r="C29" s="553"/>
      <c r="D29" s="553"/>
      <c r="E29" s="553"/>
    </row>
    <row r="30" spans="1:5" s="77" customFormat="1" ht="95.25" customHeight="1">
      <c r="A30" s="144" t="str">
        <f>'1. CUTTING DOCKET'!B86</f>
        <v>BAO POLYBAG - 15" X 18" CODE: ALD PB02-R</v>
      </c>
      <c r="B30" s="558" t="str">
        <f>'1. CUTTING DOCKET'!F86</f>
        <v>CLEAR</v>
      </c>
      <c r="C30" s="559"/>
      <c r="D30" s="559"/>
      <c r="E30" s="377"/>
    </row>
    <row r="31" spans="1:5" s="77" customFormat="1" ht="324.75" customHeight="1">
      <c r="A31" s="145"/>
      <c r="B31" s="552"/>
      <c r="C31" s="553"/>
      <c r="D31" s="553"/>
      <c r="E31" s="553"/>
    </row>
    <row r="32" spans="1:5" s="77" customFormat="1" ht="119.4" customHeight="1">
      <c r="A32" s="144" t="s">
        <v>413</v>
      </c>
      <c r="B32" s="558" t="e">
        <f>'1. CUTTING DOCKET'!#REF!</f>
        <v>#REF!</v>
      </c>
      <c r="C32" s="559"/>
      <c r="D32" s="559"/>
      <c r="E32" s="377"/>
    </row>
    <row r="33" spans="1:9" s="77" customFormat="1" ht="287.25" customHeight="1">
      <c r="A33" s="145" t="s">
        <v>414</v>
      </c>
      <c r="B33" s="552"/>
      <c r="C33" s="553"/>
      <c r="D33" s="553"/>
      <c r="E33" s="553"/>
    </row>
    <row r="34" spans="1:9" s="77" customFormat="1" ht="71.400000000000006" customHeight="1">
      <c r="A34" s="144" t="s">
        <v>116</v>
      </c>
      <c r="B34" s="558" t="s">
        <v>117</v>
      </c>
      <c r="C34" s="559"/>
      <c r="D34" s="559"/>
      <c r="E34" s="377"/>
    </row>
    <row r="35" spans="1:9" s="77" customFormat="1" ht="87" customHeight="1">
      <c r="A35" s="145" t="s">
        <v>415</v>
      </c>
      <c r="B35" s="552"/>
      <c r="C35" s="553"/>
      <c r="D35" s="553"/>
      <c r="E35" s="553"/>
    </row>
    <row r="36" spans="1:9" s="77" customFormat="1" ht="63.6" customHeight="1">
      <c r="A36" s="144" t="s">
        <v>118</v>
      </c>
      <c r="B36" s="558" t="s">
        <v>111</v>
      </c>
      <c r="C36" s="559"/>
      <c r="D36" s="559"/>
      <c r="E36" s="377"/>
    </row>
    <row r="37" spans="1:9" s="77" customFormat="1" ht="97.5" customHeight="1">
      <c r="A37" s="145" t="s">
        <v>415</v>
      </c>
      <c r="B37" s="552"/>
      <c r="C37" s="553"/>
      <c r="D37" s="553"/>
      <c r="E37" s="553"/>
    </row>
    <row r="38" spans="1:9" s="77" customFormat="1" ht="97.5" customHeight="1">
      <c r="A38" s="378" t="e">
        <f>'1. CUTTING DOCKET'!#REF!</f>
        <v>#REF!</v>
      </c>
      <c r="B38" s="554" t="e">
        <f>'1. CUTTING DOCKET'!#REF!</f>
        <v>#REF!</v>
      </c>
      <c r="C38" s="555"/>
      <c r="D38" s="556"/>
      <c r="E38" s="379"/>
    </row>
    <row r="39" spans="1:9" s="77" customFormat="1" ht="221.4" customHeight="1">
      <c r="A39" s="145"/>
      <c r="B39" s="557"/>
      <c r="C39" s="557"/>
      <c r="D39" s="557"/>
      <c r="E39" s="557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09375" defaultRowHeight="16.8"/>
  <cols>
    <col min="1" max="17" width="9.109375" style="41"/>
    <col min="18" max="18" width="80.109375" style="41" customWidth="1"/>
    <col min="19" max="16384" width="9.1093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4140625" defaultRowHeight="21"/>
  <cols>
    <col min="1" max="1" width="4.109375" style="2" customWidth="1"/>
    <col min="2" max="2" width="39.5546875" style="2" bestFit="1" customWidth="1"/>
    <col min="3" max="3" width="53.44140625" style="2" bestFit="1" customWidth="1"/>
    <col min="4" max="8" width="16.5546875" style="2" customWidth="1"/>
    <col min="9" max="9" width="16.44140625" style="2" customWidth="1"/>
    <col min="10" max="10" width="21" style="2" bestFit="1" customWidth="1"/>
    <col min="11" max="11" width="9.109375" style="2" customWidth="1"/>
    <col min="12" max="25" width="8" style="2" customWidth="1"/>
    <col min="26" max="16384" width="14.44140625" style="2"/>
  </cols>
  <sheetData>
    <row r="1" spans="1:25" s="47" customFormat="1" ht="30.75" customHeight="1">
      <c r="A1" s="43"/>
      <c r="B1" s="44" t="s">
        <v>416</v>
      </c>
      <c r="C1" s="44" t="s">
        <v>417</v>
      </c>
      <c r="D1" s="581" t="s">
        <v>418</v>
      </c>
      <c r="E1" s="581"/>
      <c r="F1" s="581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419</v>
      </c>
      <c r="C2" s="49" t="s">
        <v>420</v>
      </c>
      <c r="D2" s="582" t="s">
        <v>421</v>
      </c>
      <c r="E2" s="582"/>
      <c r="F2" s="582"/>
      <c r="G2" s="582"/>
      <c r="H2" s="582"/>
      <c r="I2" s="583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422</v>
      </c>
      <c r="B3" s="51" t="s">
        <v>423</v>
      </c>
      <c r="C3" s="51" t="s">
        <v>424</v>
      </c>
      <c r="D3" s="52" t="s">
        <v>37</v>
      </c>
      <c r="E3" s="52" t="s">
        <v>38</v>
      </c>
      <c r="F3" s="52" t="s">
        <v>39</v>
      </c>
      <c r="G3" s="52" t="s">
        <v>40</v>
      </c>
      <c r="H3" s="52" t="s">
        <v>41</v>
      </c>
      <c r="I3" s="53" t="s">
        <v>425</v>
      </c>
      <c r="J3" s="54"/>
      <c r="K3" s="54"/>
    </row>
    <row r="4" spans="1:25" s="61" customFormat="1" ht="27" customHeight="1">
      <c r="A4" s="56">
        <v>1</v>
      </c>
      <c r="B4" s="57" t="s">
        <v>426</v>
      </c>
      <c r="C4" s="57" t="s">
        <v>427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428</v>
      </c>
      <c r="J4" s="60"/>
      <c r="K4" s="60"/>
    </row>
    <row r="5" spans="1:25" s="61" customFormat="1" ht="27" customHeight="1">
      <c r="A5" s="56">
        <v>2</v>
      </c>
      <c r="B5" s="57" t="s">
        <v>429</v>
      </c>
      <c r="C5" s="57" t="s">
        <v>430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428</v>
      </c>
      <c r="J5" s="60"/>
      <c r="K5" s="60"/>
    </row>
    <row r="6" spans="1:25" s="61" customFormat="1" ht="27" customHeight="1">
      <c r="A6" s="56">
        <v>3</v>
      </c>
      <c r="B6" s="42" t="s">
        <v>431</v>
      </c>
      <c r="C6" s="42" t="s">
        <v>432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428</v>
      </c>
      <c r="J6" s="60"/>
      <c r="K6" s="60"/>
    </row>
    <row r="7" spans="1:25" s="61" customFormat="1" ht="27" customHeight="1">
      <c r="A7" s="56">
        <v>4</v>
      </c>
      <c r="B7" s="42" t="s">
        <v>433</v>
      </c>
      <c r="C7" s="42" t="s">
        <v>434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428</v>
      </c>
      <c r="J7" s="60"/>
      <c r="K7" s="60"/>
    </row>
    <row r="8" spans="1:25" s="61" customFormat="1" ht="27" customHeight="1">
      <c r="A8" s="56">
        <v>5</v>
      </c>
      <c r="B8" s="42" t="s">
        <v>435</v>
      </c>
      <c r="C8" s="42" t="s">
        <v>436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437</v>
      </c>
      <c r="J8" s="60"/>
      <c r="K8" s="60"/>
    </row>
    <row r="9" spans="1:25" s="61" customFormat="1" ht="27" customHeight="1">
      <c r="A9" s="56">
        <v>6</v>
      </c>
      <c r="B9" s="42" t="s">
        <v>438</v>
      </c>
      <c r="C9" s="42" t="s">
        <v>439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428</v>
      </c>
      <c r="J9" s="60"/>
      <c r="K9" s="60"/>
    </row>
    <row r="10" spans="1:25" s="61" customFormat="1" ht="27" customHeight="1">
      <c r="A10" s="56">
        <v>7</v>
      </c>
      <c r="B10" s="42" t="s">
        <v>440</v>
      </c>
      <c r="C10" s="42" t="s">
        <v>441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428</v>
      </c>
      <c r="J10" s="60"/>
      <c r="K10" s="60"/>
    </row>
    <row r="11" spans="1:25" s="61" customFormat="1" ht="27" customHeight="1">
      <c r="A11" s="56">
        <v>8</v>
      </c>
      <c r="B11" s="42" t="s">
        <v>442</v>
      </c>
      <c r="C11" s="42" t="s">
        <v>443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444</v>
      </c>
      <c r="C12" s="42" t="s">
        <v>445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437</v>
      </c>
      <c r="J12" s="60"/>
      <c r="K12" s="60"/>
    </row>
    <row r="13" spans="1:25" s="61" customFormat="1" ht="27" customHeight="1">
      <c r="A13" s="56">
        <v>10</v>
      </c>
      <c r="B13" s="42" t="s">
        <v>446</v>
      </c>
      <c r="C13" s="42" t="s">
        <v>447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437</v>
      </c>
      <c r="J13" s="60"/>
      <c r="K13" s="60"/>
    </row>
    <row r="14" spans="1:25" s="61" customFormat="1" ht="27" customHeight="1">
      <c r="A14" s="56">
        <v>11</v>
      </c>
      <c r="B14" s="42" t="s">
        <v>448</v>
      </c>
      <c r="C14" s="42" t="s">
        <v>449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450</v>
      </c>
      <c r="C15" s="42" t="s">
        <v>451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452</v>
      </c>
      <c r="C16" s="42" t="s">
        <v>453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454</v>
      </c>
      <c r="C17" s="66" t="s">
        <v>455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966BF1-9573-450F-B72F-38355747C4A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BE6A87D-8976-4A34-9110-C86C1E3D0E37}">
  <ds:schemaRefs>
    <ds:schemaRef ds:uri="http://purl.org/dc/dcmitype/"/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cc099e4b-e381-4360-bcff-5e1f51ab48dc"/>
    <ds:schemaRef ds:uri="http://schemas.microsoft.com/office/2006/documentManagement/types"/>
    <ds:schemaRef ds:uri="4bf10b48-52f7-4ad4-b1e1-de514cec68e0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D45785F2-AE38-44EB-9995-B789F59759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14</vt:i4>
      </vt:variant>
    </vt:vector>
  </HeadingPairs>
  <TitlesOfParts>
    <vt:vector size="23" baseType="lpstr">
      <vt:lpstr>GREY</vt:lpstr>
      <vt:lpstr>1. CUTTING DOCKET</vt:lpstr>
      <vt:lpstr>2. TRIM CARD</vt:lpstr>
      <vt:lpstr>SPEC PROTO</vt:lpstr>
      <vt:lpstr>SPEC PROTO SPEND 21.5</vt:lpstr>
      <vt:lpstr>SPEC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SPEC!Print_Area</vt:lpstr>
      <vt:lpstr>'SPEC PROTO'!Print_Area</vt:lpstr>
      <vt:lpstr>'SPEC PROTO SPEND 21.5'!Print_Area</vt:lpstr>
      <vt:lpstr>'1. CUTTING DOCKET'!Print_Titles</vt:lpstr>
      <vt:lpstr>'2. TRIM CARD'!Print_Titles</vt:lpstr>
      <vt:lpstr>'2. TRIM CARD (GREY)'!Print_Titles</vt:lpstr>
      <vt:lpstr>GREY!Print_Titles</vt:lpstr>
      <vt:lpstr>SPEC!Print_Titles</vt:lpstr>
      <vt:lpstr>'SPEC PROTO'!Print_Titles</vt:lpstr>
      <vt:lpstr>'SPEC PROTO SPEND 21.5'!Print_Titles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Tuyen Truong</cp:lastModifiedBy>
  <cp:revision/>
  <cp:lastPrinted>2024-05-21T06:19:43Z</cp:lastPrinted>
  <dcterms:created xsi:type="dcterms:W3CDTF">2016-05-06T01:47:29Z</dcterms:created>
  <dcterms:modified xsi:type="dcterms:W3CDTF">2024-05-25T19:17:32Z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