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FRED AGAIN/2 -SS25/1-SAMPLE/2-STYLE-FILE/3. CUTTING DOCKET/"/>
    </mc:Choice>
  </mc:AlternateContent>
  <xr:revisionPtr revIDLastSave="144" documentId="13_ncr:1_{26B6C328-8CAD-4D8D-AF45-8E9ED7120557}" xr6:coauthVersionLast="47" xr6:coauthVersionMax="47" xr10:uidLastSave="{9057450C-78EF-40EB-A995-E456A7B8D769}"/>
  <bookViews>
    <workbookView xWindow="-110" yWindow="-110" windowWidth="19420" windowHeight="10300" tabRatio="895" xr2:uid="{00000000-000D-0000-FFFF-FFFF00000000}"/>
  </bookViews>
  <sheets>
    <sheet name="1. CUTTING ." sheetId="21" r:id="rId1"/>
    <sheet name="1. CUTTING " sheetId="1" state="hidden" r:id="rId2"/>
    <sheet name="2. TRIM " sheetId="5" r:id="rId3"/>
    <sheet name="SAMPLE #1" sheetId="22" r:id="rId4"/>
    <sheet name="1461-624727" sheetId="16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CAP002" localSheetId="4">[1]MTP!#REF!</definedName>
    <definedName name="_2STREO7" localSheetId="4">[2]MTP!#REF!</definedName>
    <definedName name="_4GOIC01" localSheetId="4">[3]MTP!#REF!</definedName>
    <definedName name="_4OSLCTT" localSheetId="4">[3]MTP!#REF!</definedName>
    <definedName name="_6BNTTTH" localSheetId="4">[2]MTP1!#REF!</definedName>
    <definedName name="_6DCTTBO" localSheetId="4">[2]MTP1!#REF!</definedName>
    <definedName name="_6DD24TT" localSheetId="4">[2]MTP1!#REF!</definedName>
    <definedName name="_6FCOTBU" localSheetId="4">[2]MTP1!#REF!</definedName>
    <definedName name="_6LATUBU" localSheetId="4">[2]MTP1!#REF!</definedName>
    <definedName name="_6SDTT24" localSheetId="4">[2]MTP1!#REF!</definedName>
    <definedName name="_6TBUDTT" localSheetId="4">[2]MTP1!#REF!</definedName>
    <definedName name="_6TDDDTT" localSheetId="4">[2]MTP1!#REF!</definedName>
    <definedName name="_6TLTTTH" localSheetId="4">[2]MTP1!#REF!</definedName>
    <definedName name="_6TUBUTT" localSheetId="4">[2]MTP1!#REF!</definedName>
    <definedName name="_6UCLVIS" localSheetId="4">[2]MTP1!#REF!</definedName>
    <definedName name="_7DNCABC" localSheetId="4">[2]MTP1!#REF!</definedName>
    <definedName name="_7HDCTBU" localSheetId="4">[2]MTP1!#REF!</definedName>
    <definedName name="_7PKTUBU" localSheetId="4">[2]MTP1!#REF!</definedName>
    <definedName name="_7TBHT20" localSheetId="4">[2]MTP1!#REF!</definedName>
    <definedName name="_7TBHT30" localSheetId="4">[2]MTP1!#REF!</definedName>
    <definedName name="_7TDCABC" localSheetId="4">[2]MTP1!#REF!</definedName>
    <definedName name="_dao1" localSheetId="4">'[4]CT Thang Mo'!$B$189:$H$189</definedName>
    <definedName name="_dao2" localSheetId="4">'[4]CT Thang Mo'!$B$161:$H$161</definedName>
    <definedName name="_dap2" localSheetId="4">'[4]CT Thang Mo'!$B$162:$H$162</definedName>
    <definedName name="_day1" localSheetId="4">'[5]Chiet tinh dz22'!#REF!</definedName>
    <definedName name="_day2" localSheetId="4">'[6]Chiet tinh dz35'!$H$3</definedName>
    <definedName name="_dbu1" localSheetId="4">'[4]CT Thang Mo'!#REF!</definedName>
    <definedName name="_dbu2" localSheetId="4">'[4]CT Thang Mo'!$B$93:$F$93</definedName>
    <definedName name="_Fill" localSheetId="0" hidden="1">#REF!</definedName>
    <definedName name="_Fill" localSheetId="4" hidden="1">#REF!</definedName>
    <definedName name="_Fill" localSheetId="2" hidden="1">#REF!</definedName>
    <definedName name="_Fill" localSheetId="3" hidden="1">#REF!</definedName>
    <definedName name="_Fill" hidden="1">#REF!</definedName>
    <definedName name="_lap1" localSheetId="4">#REF!</definedName>
    <definedName name="_lap2" localSheetId="4">#REF!</definedName>
    <definedName name="_vc1" localSheetId="4">'[4]CT Thang Mo'!$B$34:$H$34</definedName>
    <definedName name="_vc2" localSheetId="4">'[4]CT Thang Mo'!$B$35:$H$35</definedName>
    <definedName name="_vc3" localSheetId="4">'[4]CT Thang Mo'!$B$36:$H$36</definedName>
    <definedName name="Area_Print" localSheetId="4">[7]LB!$B$1:$R$28</definedName>
    <definedName name="B_Giaù" localSheetId="4">#REF!</definedName>
    <definedName name="Bang_TK" localSheetId="4">[7]TK!$A:$IV</definedName>
    <definedName name="Bang_TK1" localSheetId="4">[7]TK!$B$11:$Q$60</definedName>
    <definedName name="Baõng_Kieåm_Tra" localSheetId="4">[8]TK!$A$61:$E$65</definedName>
    <definedName name="Baûng_giaù" localSheetId="4">[8]QT!$R$2:$U$5</definedName>
    <definedName name="Baûng_HS" localSheetId="4">[7]HS!$C$3:$C$49</definedName>
    <definedName name="Baûng_Kieåm_Tra" localSheetId="4">[7]TK!$E$62:$F$65</definedName>
    <definedName name="Baûng_QT" localSheetId="4">[7]QT!$A$5:$K$88</definedName>
    <definedName name="Caáp_Baäc" localSheetId="4">[8]QT!$D$7:$M$42</definedName>
    <definedName name="Caáp_Baät" localSheetId="4">#REF!</definedName>
    <definedName name="cap" localSheetId="4">#REF!</definedName>
    <definedName name="cap0.7" localSheetId="4">#REF!</definedName>
    <definedName name="CCNK" localSheetId="4">[9]QMCT!#REF!</definedName>
    <definedName name="CL" localSheetId="4">#REF!</definedName>
    <definedName name="CLTMP" localSheetId="4">[9]QMCT!#REF!</definedName>
    <definedName name="ctdn9697" localSheetId="4">#REF!</definedName>
    <definedName name="daotd" localSheetId="4">'[4]CT Thang Mo'!$B$323:$H$323</definedName>
    <definedName name="dap" localSheetId="4">'[4]CT Thang Mo'!$B$39:$H$39</definedName>
    <definedName name="daptd" localSheetId="4">'[4]CT Thang Mo'!$B$324:$H$324</definedName>
    <definedName name="DATA_DATA2_List" localSheetId="4">#REF!</definedName>
    <definedName name="_xlnm.Database" localSheetId="4">#REF!</definedName>
    <definedName name="DDAY" localSheetId="4">#REF!</definedName>
    <definedName name="DM" localSheetId="4">#REF!</definedName>
    <definedName name="DM_1" localSheetId="4">[7]TK!$E$11:$E$60</definedName>
    <definedName name="DM_2" localSheetId="4">[7]TK!$M$11:$M$60</definedName>
    <definedName name="dobt" localSheetId="4">#REF!</definedName>
    <definedName name="Döõ_Lieäu_Thoâ" localSheetId="4">[7]TK!$E$11:$E$60,[7]TK!$G$11:$G$60,[7]TK!$M$11:$M$60,[7]TK!$Q$11:$Q$60</definedName>
    <definedName name="dulieu" localSheetId="4">#REF!</definedName>
    <definedName name="FHT" localSheetId="4">#REF!</definedName>
    <definedName name="Full" localSheetId="4">[9]QMCT!#REF!</definedName>
    <definedName name="HDCCT" localSheetId="4">[9]QMCT!#REF!</definedName>
    <definedName name="HDCD" localSheetId="4">[9]QMCT!#REF!</definedName>
    <definedName name="Heä_Soá_NS" localSheetId="4">#REF!</definedName>
    <definedName name="Heä_Soá_TC" localSheetId="4">[7]HS!$C$66:$E$79</definedName>
    <definedName name="HS_1" localSheetId="4">[7]HS!#REF!</definedName>
    <definedName name="HS_2" localSheetId="4">[7]HS!#REF!</definedName>
    <definedName name="HS_3" localSheetId="4">[7]HS!#REF!</definedName>
    <definedName name="HS_4" localSheetId="4">[7]HS!#REF!</definedName>
    <definedName name="HS_5" localSheetId="4">[7]HS!#REF!</definedName>
    <definedName name="HS_6" localSheetId="4">[7]HS!#REF!</definedName>
    <definedName name="HS_7" localSheetId="4">[7]HS!#REF!</definedName>
    <definedName name="HS_8" localSheetId="4">[7]HS!#REF!</definedName>
    <definedName name="HS_9" localSheetId="4">[7]HS!#REF!</definedName>
    <definedName name="K" localSheetId="4">#REF!</definedName>
    <definedName name="K_1" localSheetId="4">[10]!K_1</definedName>
    <definedName name="K_2" localSheetId="4">[10]!K_2</definedName>
    <definedName name="Khaû_Naêng" localSheetId="4">#REF!</definedName>
    <definedName name="KN" localSheetId="4">#REF!</definedName>
    <definedName name="KVC" localSheetId="4">#REF!</definedName>
    <definedName name="L" localSheetId="4">#REF!</definedName>
    <definedName name="lapa" localSheetId="4">'[4]CT Thang Mo'!$B$350:$H$350</definedName>
    <definedName name="lapb" localSheetId="4">'[4]CT Thang Mo'!$B$370:$H$370</definedName>
    <definedName name="lapc" localSheetId="4">'[4]CT Thang Mo'!$B$390:$H$390</definedName>
    <definedName name="LÑP" localSheetId="4">#REF!</definedName>
    <definedName name="lVC" localSheetId="4">#REF!</definedName>
    <definedName name="Maõ_CÑ" localSheetId="4">#REF!</definedName>
    <definedName name="Maõ_Haøng" localSheetId="4">#REF!</definedName>
    <definedName name="May" localSheetId="4">#REF!</definedName>
    <definedName name="Naêng_Suaát_BQ" localSheetId="4">[8]QT!$P$3</definedName>
    <definedName name="Naêng_suaát_BQ__taïm" localSheetId="4">#REF!</definedName>
    <definedName name="Naêng_suaát_QÑ" localSheetId="4">#REF!</definedName>
    <definedName name="NCcap0.7" localSheetId="4">#REF!</definedName>
    <definedName name="NCcap1" localSheetId="4">#REF!</definedName>
    <definedName name="ÑG" localSheetId="4">[8]QT!$K$6</definedName>
    <definedName name="Ngaøy_thaùng_HH" localSheetId="4">#REF!</definedName>
    <definedName name="Ñinh_Möùc_BQ" localSheetId="4">[8]QT!$B$5</definedName>
    <definedName name="ÑMTB" localSheetId="4">#REF!</definedName>
    <definedName name="Ñoåi_teân" localSheetId="4">[7]HS!#REF!</definedName>
    <definedName name="Ñôn_Giaù_Duyeät" localSheetId="4">#REF!</definedName>
    <definedName name="Ñònh_Möùc_BQ" localSheetId="4">#REF!</definedName>
    <definedName name="NSNM" localSheetId="4">#REF!</definedName>
    <definedName name="NToS" localSheetId="4">[11]!NToS</definedName>
    <definedName name="PRICE" localSheetId="4">#REF!</definedName>
    <definedName name="_xlnm.Print_Area" localSheetId="1">'1. CUTTING '!$A$1:$P$277</definedName>
    <definedName name="_xlnm.Print_Area" localSheetId="0">'1. CUTTING .'!$A$1:$P$85</definedName>
    <definedName name="_xlnm.Print_Area" localSheetId="2">'2. TRIM '!$A$1:$C$14</definedName>
    <definedName name="_xlnm.Print_Area" localSheetId="3">'SAMPLE #1'!$A$1:$N$21</definedName>
    <definedName name="Print_erea" localSheetId="4">[8]QT!$A$1:$U$54</definedName>
    <definedName name="_xlnm.Print_Titles" localSheetId="1">'1. CUTTING '!$1:$15</definedName>
    <definedName name="_xlnm.Print_Titles" localSheetId="0">'1. CUTTING .'!$1:$15</definedName>
    <definedName name="Quyõ_TG_SX" localSheetId="4">#REF!</definedName>
    <definedName name="Quyõ_TGTB" localSheetId="4">#REF!</definedName>
    <definedName name="S_löôïng_BQ1toå" localSheetId="4">#REF!</definedName>
    <definedName name="sau" localSheetId="4">'[6]Chiet tinh dz35'!$H$4</definedName>
    <definedName name="SDDL" localSheetId="4">[9]QMCT!#REF!</definedName>
    <definedName name="Soá_Giôø_TC" localSheetId="4">#REF!</definedName>
    <definedName name="Soá_Löôïng" localSheetId="4">#REF!</definedName>
    <definedName name="Soá_ngaøy_SX" localSheetId="4">#REF!</definedName>
    <definedName name="Soá_TT" localSheetId="4">#REF!</definedName>
    <definedName name="style" localSheetId="4">#REF!</definedName>
    <definedName name="TAMTINH" localSheetId="4">#REF!</definedName>
    <definedName name="TG_Bthöôøng" localSheetId="4">#REF!</definedName>
    <definedName name="Thôøi_gian_SX" localSheetId="4">#REF!</definedName>
    <definedName name="TRAM" localSheetId="4">#REF!</definedName>
    <definedName name="ttbt" localSheetId="4">#REF!</definedName>
    <definedName name="ttt" localSheetId="4">'[4]CT Thang Mo'!$B$309:$M$309</definedName>
    <definedName name="tttb" localSheetId="4">'[4]CT Thang Mo'!$B$431:$I$431</definedName>
    <definedName name="UH" localSheetId="4">#REF!</definedName>
    <definedName name="vc3." localSheetId="4">'[4]CT  PL'!$B$125:$H$125</definedName>
    <definedName name="vca" localSheetId="4">'[4]CT  PL'!$B$25:$H$25</definedName>
    <definedName name="vccot" localSheetId="4">#REF!</definedName>
    <definedName name="vccot." localSheetId="4">'[4]CT  PL'!$B$8:$H$8</definedName>
    <definedName name="vcdbt" localSheetId="4">'[4]CT Thang Mo'!$B$220:$I$220</definedName>
    <definedName name="vcdc." localSheetId="4">'[12]Chi tiet'!#REF!</definedName>
    <definedName name="vcdd" localSheetId="4">'[4]CT Thang Mo'!$B$182:$H$182</definedName>
    <definedName name="vcdt" localSheetId="4">'[4]CT Thang Mo'!$B$406:$I$406</definedName>
    <definedName name="vcdtb" localSheetId="4">'[4]CT Thang Mo'!$B$432:$I$432</definedName>
    <definedName name="vctb" localSheetId="4">#REF!</definedName>
    <definedName name="vctt" localSheetId="4">'[4]CT  PL'!$B$288:$H$288</definedName>
    <definedName name="VDCLY" localSheetId="4">[9]QMCT!#REF!</definedName>
    <definedName name="Vlcap0.7" localSheetId="4">#REF!</definedName>
    <definedName name="VLcap1" localSheetId="4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5" l="1"/>
  <c r="B7" i="5"/>
  <c r="C7" i="5" s="1"/>
  <c r="C11" i="5"/>
  <c r="L42" i="21"/>
  <c r="B37" i="21"/>
  <c r="E37" i="21"/>
  <c r="E38" i="21" s="1"/>
  <c r="K27" i="21"/>
  <c r="P26" i="21"/>
  <c r="D26" i="21"/>
  <c r="D27" i="21" s="1"/>
  <c r="P25" i="21"/>
  <c r="K21" i="21"/>
  <c r="I84" i="21"/>
  <c r="A13" i="5"/>
  <c r="P27" i="21" l="1"/>
  <c r="G37" i="21" s="1"/>
  <c r="I37" i="21" s="1"/>
  <c r="J37" i="21" s="1"/>
  <c r="K29" i="21"/>
  <c r="C6" i="5"/>
  <c r="C9" i="5" s="1"/>
  <c r="L41" i="21"/>
  <c r="A9" i="5"/>
  <c r="B5" i="5"/>
  <c r="A10" i="5"/>
  <c r="A8" i="5"/>
  <c r="L37" i="21" l="1"/>
  <c r="G39" i="21"/>
  <c r="K55" i="21"/>
  <c r="M55" i="21" s="1"/>
  <c r="O55" i="21" s="1"/>
  <c r="G38" i="21"/>
  <c r="K42" i="21"/>
  <c r="B13" i="5"/>
  <c r="C13" i="5" s="1"/>
  <c r="B3" i="5"/>
  <c r="B2" i="5"/>
  <c r="P19" i="21" l="1"/>
  <c r="A33" i="21"/>
  <c r="L54" i="21"/>
  <c r="L53" i="21"/>
  <c r="L52" i="21"/>
  <c r="B34" i="21"/>
  <c r="D20" i="21"/>
  <c r="D21" i="21" s="1"/>
  <c r="A95" i="1"/>
  <c r="B258" i="1" s="1"/>
  <c r="A91" i="1"/>
  <c r="B257" i="1" s="1"/>
  <c r="A87" i="1"/>
  <c r="B256" i="1" s="1"/>
  <c r="A83" i="1"/>
  <c r="B255" i="1"/>
  <c r="A79" i="1"/>
  <c r="B254" i="1" s="1"/>
  <c r="A75" i="1"/>
  <c r="B236" i="1" s="1"/>
  <c r="A71" i="1"/>
  <c r="B252" i="1" s="1"/>
  <c r="B240" i="1"/>
  <c r="B239" i="1"/>
  <c r="B238" i="1"/>
  <c r="P48" i="1"/>
  <c r="G49" i="1"/>
  <c r="P49" i="1" s="1"/>
  <c r="P50" i="1" s="1"/>
  <c r="K120" i="1" s="1"/>
  <c r="H49" i="1"/>
  <c r="I49" i="1"/>
  <c r="I50" i="1" s="1"/>
  <c r="J49" i="1"/>
  <c r="K49" i="1"/>
  <c r="L49" i="1"/>
  <c r="L50" i="1" s="1"/>
  <c r="P43" i="1"/>
  <c r="G44" i="1"/>
  <c r="G45" i="1" s="1"/>
  <c r="H44" i="1"/>
  <c r="P44" i="1" s="1"/>
  <c r="P45" i="1" s="1"/>
  <c r="I44" i="1"/>
  <c r="J44" i="1"/>
  <c r="K44" i="1"/>
  <c r="L44" i="1"/>
  <c r="L45" i="1" s="1"/>
  <c r="P38" i="1"/>
  <c r="G39" i="1"/>
  <c r="G40" i="1" s="1"/>
  <c r="H39" i="1"/>
  <c r="H40" i="1" s="1"/>
  <c r="I39" i="1"/>
  <c r="J39" i="1"/>
  <c r="K39" i="1"/>
  <c r="L39" i="1"/>
  <c r="L40" i="1" s="1"/>
  <c r="P33" i="1"/>
  <c r="G34" i="1"/>
  <c r="G35" i="1" s="1"/>
  <c r="H34" i="1"/>
  <c r="H35" i="1" s="1"/>
  <c r="I34" i="1"/>
  <c r="I35" i="1" s="1"/>
  <c r="J34" i="1"/>
  <c r="K34" i="1"/>
  <c r="L34" i="1"/>
  <c r="P28" i="1"/>
  <c r="G29" i="1"/>
  <c r="H29" i="1"/>
  <c r="H30" i="1" s="1"/>
  <c r="I29" i="1"/>
  <c r="J29" i="1"/>
  <c r="J30" i="1" s="1"/>
  <c r="K29" i="1"/>
  <c r="K30" i="1" s="1"/>
  <c r="L29" i="1"/>
  <c r="L30" i="1" s="1"/>
  <c r="P23" i="1"/>
  <c r="G24" i="1"/>
  <c r="G25" i="1" s="1"/>
  <c r="H24" i="1"/>
  <c r="H25" i="1" s="1"/>
  <c r="I24" i="1"/>
  <c r="I25" i="1" s="1"/>
  <c r="J24" i="1"/>
  <c r="K24" i="1"/>
  <c r="K25" i="1" s="1"/>
  <c r="L24" i="1"/>
  <c r="L25" i="1" s="1"/>
  <c r="P18" i="1"/>
  <c r="G19" i="1"/>
  <c r="H19" i="1"/>
  <c r="H20" i="1" s="1"/>
  <c r="I19" i="1"/>
  <c r="I20" i="1" s="1"/>
  <c r="I67" i="1" s="1"/>
  <c r="E271" i="1" s="1"/>
  <c r="J19" i="1"/>
  <c r="K19" i="1"/>
  <c r="K20" i="1" s="1"/>
  <c r="L19" i="1"/>
  <c r="H227" i="1"/>
  <c r="H226" i="1"/>
  <c r="H225" i="1"/>
  <c r="H224" i="1"/>
  <c r="H223" i="1"/>
  <c r="H222" i="1"/>
  <c r="H220" i="1"/>
  <c r="H219" i="1"/>
  <c r="H218" i="1"/>
  <c r="H217" i="1"/>
  <c r="H216" i="1"/>
  <c r="H212" i="1"/>
  <c r="H206" i="1"/>
  <c r="H204" i="1"/>
  <c r="H198" i="1"/>
  <c r="H190" i="1"/>
  <c r="H188" i="1"/>
  <c r="H150" i="1"/>
  <c r="B92" i="1"/>
  <c r="E92" i="1"/>
  <c r="B88" i="1"/>
  <c r="E88" i="1"/>
  <c r="E89" i="1" s="1"/>
  <c r="B84" i="1"/>
  <c r="E84" i="1"/>
  <c r="H158" i="1"/>
  <c r="H115" i="1"/>
  <c r="R67" i="1"/>
  <c r="S67" i="1"/>
  <c r="T67" i="1"/>
  <c r="U67" i="1"/>
  <c r="V67" i="1"/>
  <c r="Q67" i="1"/>
  <c r="K40" i="1"/>
  <c r="J40" i="1"/>
  <c r="I40" i="1"/>
  <c r="D39" i="1"/>
  <c r="D40" i="1"/>
  <c r="I30" i="1"/>
  <c r="D29" i="1"/>
  <c r="D30" i="1" s="1"/>
  <c r="J25" i="1"/>
  <c r="D24" i="1"/>
  <c r="D25" i="1"/>
  <c r="H196" i="1"/>
  <c r="H159" i="1"/>
  <c r="H181" i="1"/>
  <c r="H189" i="1"/>
  <c r="H197" i="1"/>
  <c r="H205" i="1"/>
  <c r="H213" i="1"/>
  <c r="H182" i="1"/>
  <c r="H174" i="1"/>
  <c r="H183" i="1"/>
  <c r="H191" i="1"/>
  <c r="H199" i="1"/>
  <c r="H175" i="1"/>
  <c r="H184" i="1"/>
  <c r="H192" i="1"/>
  <c r="H176" i="1"/>
  <c r="H185" i="1"/>
  <c r="H209" i="1"/>
  <c r="H177" i="1"/>
  <c r="H202" i="1"/>
  <c r="H210" i="1"/>
  <c r="H131" i="1"/>
  <c r="H178" i="1"/>
  <c r="H195" i="1"/>
  <c r="H203" i="1"/>
  <c r="H211" i="1"/>
  <c r="H126" i="1"/>
  <c r="H140" i="1"/>
  <c r="F116" i="1"/>
  <c r="H117" i="1"/>
  <c r="H132" i="1"/>
  <c r="H151" i="1"/>
  <c r="H160" i="1"/>
  <c r="F117" i="1"/>
  <c r="H118" i="1"/>
  <c r="H133" i="1"/>
  <c r="H143" i="1"/>
  <c r="H152" i="1"/>
  <c r="H161" i="1"/>
  <c r="H168" i="1"/>
  <c r="F168" i="1" s="1"/>
  <c r="F118" i="1"/>
  <c r="H119" i="1"/>
  <c r="H144" i="1"/>
  <c r="H153" i="1"/>
  <c r="F119" i="1"/>
  <c r="H122" i="1"/>
  <c r="H136" i="1"/>
  <c r="H145" i="1"/>
  <c r="H154" i="1"/>
  <c r="H164" i="1"/>
  <c r="F164" i="1"/>
  <c r="H123" i="1"/>
  <c r="H146" i="1"/>
  <c r="H165" i="1"/>
  <c r="F165" i="1" s="1"/>
  <c r="H116" i="1"/>
  <c r="H124" i="1"/>
  <c r="H129" i="1"/>
  <c r="H138" i="1"/>
  <c r="H147" i="1"/>
  <c r="H157" i="1"/>
  <c r="H166" i="1"/>
  <c r="F166" i="1" s="1"/>
  <c r="H125" i="1"/>
  <c r="H130" i="1"/>
  <c r="H139" i="1"/>
  <c r="H167" i="1"/>
  <c r="F167" i="1" s="1"/>
  <c r="E93" i="1"/>
  <c r="E94" i="1"/>
  <c r="E90" i="1"/>
  <c r="E85" i="1"/>
  <c r="E86" i="1"/>
  <c r="D49" i="1"/>
  <c r="D50" i="1" s="1"/>
  <c r="D44" i="1"/>
  <c r="D45" i="1"/>
  <c r="D34" i="1"/>
  <c r="D35" i="1"/>
  <c r="D19" i="1"/>
  <c r="D20" i="1" s="1"/>
  <c r="L54" i="1"/>
  <c r="K54" i="1"/>
  <c r="K55" i="1" s="1"/>
  <c r="J54" i="1"/>
  <c r="I54" i="1"/>
  <c r="H54" i="1"/>
  <c r="G54" i="1"/>
  <c r="G55" i="1" s="1"/>
  <c r="L64" i="1"/>
  <c r="L65" i="1"/>
  <c r="L67" i="1" s="1"/>
  <c r="H271" i="1" s="1"/>
  <c r="K64" i="1"/>
  <c r="K65" i="1"/>
  <c r="J64" i="1"/>
  <c r="J65" i="1" s="1"/>
  <c r="I64" i="1"/>
  <c r="I65" i="1" s="1"/>
  <c r="H64" i="1"/>
  <c r="H65" i="1"/>
  <c r="G64" i="1"/>
  <c r="G65" i="1"/>
  <c r="K50" i="1"/>
  <c r="J50" i="1"/>
  <c r="H50" i="1"/>
  <c r="K45" i="1"/>
  <c r="J45" i="1"/>
  <c r="I45" i="1"/>
  <c r="H45" i="1"/>
  <c r="L204" i="1"/>
  <c r="L55" i="1"/>
  <c r="J55" i="1"/>
  <c r="I55" i="1"/>
  <c r="H55" i="1"/>
  <c r="L59" i="1"/>
  <c r="L60" i="1"/>
  <c r="K59" i="1"/>
  <c r="K60" i="1" s="1"/>
  <c r="J59" i="1"/>
  <c r="J60" i="1" s="1"/>
  <c r="I59" i="1"/>
  <c r="I60" i="1" s="1"/>
  <c r="H59" i="1"/>
  <c r="H60" i="1" s="1"/>
  <c r="G59" i="1"/>
  <c r="L35" i="1"/>
  <c r="K35" i="1"/>
  <c r="J35" i="1"/>
  <c r="L20" i="1"/>
  <c r="J20" i="1"/>
  <c r="L220" i="1"/>
  <c r="L213" i="1"/>
  <c r="L206" i="1"/>
  <c r="H19" i="16"/>
  <c r="I19" i="16" s="1"/>
  <c r="J19" i="16" s="1"/>
  <c r="E19" i="16"/>
  <c r="D19" i="16" s="1"/>
  <c r="C19" i="16" s="1"/>
  <c r="B19" i="16" s="1"/>
  <c r="J15" i="16"/>
  <c r="I15" i="16"/>
  <c r="H15" i="16"/>
  <c r="E15" i="16"/>
  <c r="D15" i="16"/>
  <c r="C15" i="16" s="1"/>
  <c r="J14" i="16"/>
  <c r="I14" i="16"/>
  <c r="H14" i="16"/>
  <c r="E14" i="16"/>
  <c r="D14" i="16"/>
  <c r="C14" i="16" s="1"/>
  <c r="A11" i="5"/>
  <c r="A4" i="5"/>
  <c r="A3" i="5"/>
  <c r="A2" i="5"/>
  <c r="L221" i="1"/>
  <c r="L219" i="1"/>
  <c r="L218" i="1"/>
  <c r="L217" i="1"/>
  <c r="L216" i="1"/>
  <c r="L215" i="1"/>
  <c r="L214" i="1"/>
  <c r="L212" i="1"/>
  <c r="L211" i="1"/>
  <c r="L210" i="1"/>
  <c r="L209" i="1"/>
  <c r="L208" i="1"/>
  <c r="L207" i="1"/>
  <c r="L205" i="1"/>
  <c r="L203" i="1"/>
  <c r="L202" i="1"/>
  <c r="L201" i="1"/>
  <c r="L120" i="1"/>
  <c r="L119" i="1"/>
  <c r="L118" i="1"/>
  <c r="L117" i="1"/>
  <c r="L116" i="1"/>
  <c r="L115" i="1"/>
  <c r="L114" i="1"/>
  <c r="B108" i="1"/>
  <c r="A107" i="1"/>
  <c r="E108" i="1" s="1"/>
  <c r="B104" i="1"/>
  <c r="A103" i="1"/>
  <c r="E104" i="1" s="1"/>
  <c r="B100" i="1"/>
  <c r="A99" i="1"/>
  <c r="B96" i="1"/>
  <c r="B80" i="1"/>
  <c r="B76" i="1"/>
  <c r="B72" i="1"/>
  <c r="P63" i="1"/>
  <c r="P58" i="1"/>
  <c r="P53" i="1"/>
  <c r="H186" i="1"/>
  <c r="H193" i="1"/>
  <c r="H207" i="1"/>
  <c r="H201" i="1"/>
  <c r="H208" i="1"/>
  <c r="H180" i="1"/>
  <c r="H162" i="1"/>
  <c r="H134" i="1"/>
  <c r="H141" i="1"/>
  <c r="H128" i="1"/>
  <c r="H114" i="1"/>
  <c r="B6" i="5"/>
  <c r="E100" i="1"/>
  <c r="E101" i="1" s="1"/>
  <c r="B11" i="5"/>
  <c r="E76" i="1"/>
  <c r="F115" i="1"/>
  <c r="E80" i="1"/>
  <c r="E82" i="1" s="1"/>
  <c r="E96" i="1"/>
  <c r="E98" i="1" s="1"/>
  <c r="E77" i="1"/>
  <c r="E78" i="1"/>
  <c r="E110" i="1" l="1"/>
  <c r="E109" i="1"/>
  <c r="K206" i="1"/>
  <c r="M206" i="1" s="1"/>
  <c r="O206" i="1" s="1"/>
  <c r="K133" i="1"/>
  <c r="M133" i="1" s="1"/>
  <c r="O133" i="1" s="1"/>
  <c r="K140" i="1"/>
  <c r="M140" i="1" s="1"/>
  <c r="O140" i="1" s="1"/>
  <c r="K178" i="1"/>
  <c r="M178" i="1" s="1"/>
  <c r="O178" i="1" s="1"/>
  <c r="K185" i="1"/>
  <c r="M185" i="1" s="1"/>
  <c r="O185" i="1" s="1"/>
  <c r="K119" i="1"/>
  <c r="M119" i="1" s="1"/>
  <c r="O119" i="1" s="1"/>
  <c r="K126" i="1"/>
  <c r="M126" i="1" s="1"/>
  <c r="O126" i="1" s="1"/>
  <c r="K199" i="1"/>
  <c r="M199" i="1" s="1"/>
  <c r="O199" i="1" s="1"/>
  <c r="K147" i="1"/>
  <c r="M147" i="1" s="1"/>
  <c r="O147" i="1" s="1"/>
  <c r="K154" i="1"/>
  <c r="M154" i="1" s="1"/>
  <c r="O154" i="1" s="1"/>
  <c r="M120" i="1"/>
  <c r="O120" i="1" s="1"/>
  <c r="H163" i="1"/>
  <c r="F163" i="1" s="1"/>
  <c r="H169" i="1"/>
  <c r="F169" i="1" s="1"/>
  <c r="H173" i="1"/>
  <c r="H200" i="1"/>
  <c r="B253" i="1"/>
  <c r="E102" i="1"/>
  <c r="W67" i="1"/>
  <c r="H215" i="1"/>
  <c r="B235" i="1"/>
  <c r="K127" i="1"/>
  <c r="M127" i="1" s="1"/>
  <c r="O127" i="1" s="1"/>
  <c r="E72" i="1"/>
  <c r="H156" i="1"/>
  <c r="H120" i="1"/>
  <c r="H194" i="1"/>
  <c r="P19" i="1"/>
  <c r="P20" i="1" s="1"/>
  <c r="G72" i="1" s="1"/>
  <c r="G73" i="1" s="1"/>
  <c r="I73" i="1" s="1"/>
  <c r="E97" i="1"/>
  <c r="H142" i="1"/>
  <c r="F120" i="1"/>
  <c r="B15" i="16"/>
  <c r="E81" i="1"/>
  <c r="H121" i="1"/>
  <c r="H149" i="1"/>
  <c r="H155" i="1"/>
  <c r="H179" i="1"/>
  <c r="B14" i="16"/>
  <c r="H228" i="1"/>
  <c r="P24" i="1"/>
  <c r="P25" i="1" s="1"/>
  <c r="K209" i="1" s="1"/>
  <c r="M209" i="1" s="1"/>
  <c r="O209" i="1" s="1"/>
  <c r="F114" i="1"/>
  <c r="H187" i="1"/>
  <c r="H135" i="1"/>
  <c r="H127" i="1"/>
  <c r="H148" i="1"/>
  <c r="H214" i="1"/>
  <c r="I72" i="1"/>
  <c r="G74" i="1"/>
  <c r="I74" i="1" s="1"/>
  <c r="E106" i="1"/>
  <c r="E105" i="1"/>
  <c r="J67" i="1"/>
  <c r="F271" i="1" s="1"/>
  <c r="G30" i="1"/>
  <c r="P29" i="1"/>
  <c r="P30" i="1" s="1"/>
  <c r="K148" i="1"/>
  <c r="M148" i="1" s="1"/>
  <c r="O148" i="1" s="1"/>
  <c r="K179" i="1"/>
  <c r="M179" i="1" s="1"/>
  <c r="O179" i="1" s="1"/>
  <c r="K221" i="1"/>
  <c r="M221" i="1" s="1"/>
  <c r="O221" i="1" s="1"/>
  <c r="K192" i="1"/>
  <c r="M192" i="1" s="1"/>
  <c r="O192" i="1" s="1"/>
  <c r="K213" i="1"/>
  <c r="M213" i="1" s="1"/>
  <c r="O213" i="1" s="1"/>
  <c r="G92" i="1"/>
  <c r="K220" i="1"/>
  <c r="M220" i="1" s="1"/>
  <c r="O220" i="1" s="1"/>
  <c r="K168" i="1"/>
  <c r="M168" i="1" s="1"/>
  <c r="O168" i="1" s="1"/>
  <c r="K161" i="1"/>
  <c r="M161" i="1" s="1"/>
  <c r="O161" i="1" s="1"/>
  <c r="K227" i="1"/>
  <c r="M227" i="1" s="1"/>
  <c r="O227" i="1" s="1"/>
  <c r="K228" i="1"/>
  <c r="M228" i="1" s="1"/>
  <c r="O228" i="1" s="1"/>
  <c r="K200" i="1"/>
  <c r="M200" i="1" s="1"/>
  <c r="O200" i="1" s="1"/>
  <c r="P59" i="1"/>
  <c r="P60" i="1" s="1"/>
  <c r="G104" i="1" s="1"/>
  <c r="G60" i="1"/>
  <c r="K67" i="1"/>
  <c r="G271" i="1" s="1"/>
  <c r="H67" i="1"/>
  <c r="D271" i="1" s="1"/>
  <c r="K215" i="1"/>
  <c r="M215" i="1" s="1"/>
  <c r="O215" i="1" s="1"/>
  <c r="K128" i="1"/>
  <c r="M128" i="1" s="1"/>
  <c r="O128" i="1" s="1"/>
  <c r="K194" i="1"/>
  <c r="M194" i="1" s="1"/>
  <c r="O194" i="1" s="1"/>
  <c r="K187" i="1"/>
  <c r="M187" i="1" s="1"/>
  <c r="O187" i="1" s="1"/>
  <c r="K201" i="1"/>
  <c r="M201" i="1" s="1"/>
  <c r="O201" i="1" s="1"/>
  <c r="K156" i="1"/>
  <c r="M156" i="1" s="1"/>
  <c r="O156" i="1" s="1"/>
  <c r="K121" i="1"/>
  <c r="M121" i="1" s="1"/>
  <c r="O121" i="1" s="1"/>
  <c r="K114" i="1"/>
  <c r="M114" i="1" s="1"/>
  <c r="O114" i="1" s="1"/>
  <c r="K222" i="1"/>
  <c r="M222" i="1" s="1"/>
  <c r="O222" i="1" s="1"/>
  <c r="K169" i="1"/>
  <c r="M169" i="1" s="1"/>
  <c r="O169" i="1" s="1"/>
  <c r="K207" i="1"/>
  <c r="M207" i="1" s="1"/>
  <c r="O207" i="1" s="1"/>
  <c r="P64" i="1"/>
  <c r="P65" i="1" s="1"/>
  <c r="K135" i="1"/>
  <c r="M135" i="1" s="1"/>
  <c r="O135" i="1" s="1"/>
  <c r="K163" i="1"/>
  <c r="M163" i="1" s="1"/>
  <c r="O163" i="1" s="1"/>
  <c r="K162" i="1"/>
  <c r="M162" i="1" s="1"/>
  <c r="O162" i="1" s="1"/>
  <c r="K180" i="1"/>
  <c r="M180" i="1" s="1"/>
  <c r="O180" i="1" s="1"/>
  <c r="G50" i="1"/>
  <c r="K142" i="1"/>
  <c r="M142" i="1" s="1"/>
  <c r="O142" i="1" s="1"/>
  <c r="P54" i="1"/>
  <c r="P55" i="1" s="1"/>
  <c r="G100" i="1" s="1"/>
  <c r="K186" i="1"/>
  <c r="M186" i="1" s="1"/>
  <c r="O186" i="1" s="1"/>
  <c r="K155" i="1"/>
  <c r="M155" i="1" s="1"/>
  <c r="O155" i="1" s="1"/>
  <c r="K193" i="1"/>
  <c r="M193" i="1" s="1"/>
  <c r="O193" i="1" s="1"/>
  <c r="K214" i="1"/>
  <c r="M214" i="1" s="1"/>
  <c r="O214" i="1" s="1"/>
  <c r="K134" i="1"/>
  <c r="M134" i="1" s="1"/>
  <c r="O134" i="1" s="1"/>
  <c r="G96" i="1"/>
  <c r="K149" i="1"/>
  <c r="M149" i="1" s="1"/>
  <c r="O149" i="1" s="1"/>
  <c r="K141" i="1"/>
  <c r="M141" i="1" s="1"/>
  <c r="O141" i="1" s="1"/>
  <c r="K208" i="1"/>
  <c r="M208" i="1" s="1"/>
  <c r="O208" i="1" s="1"/>
  <c r="G20" i="1"/>
  <c r="P39" i="1"/>
  <c r="P40" i="1" s="1"/>
  <c r="B241" i="1"/>
  <c r="B237" i="1"/>
  <c r="P34" i="1"/>
  <c r="P35" i="1" s="1"/>
  <c r="H137" i="1"/>
  <c r="H221" i="1"/>
  <c r="F41" i="21"/>
  <c r="H51" i="21"/>
  <c r="H41" i="21"/>
  <c r="H43" i="21"/>
  <c r="H54" i="21"/>
  <c r="H53" i="21"/>
  <c r="B62" i="21"/>
  <c r="B71" i="21"/>
  <c r="H52" i="21"/>
  <c r="H44" i="21"/>
  <c r="H49" i="21"/>
  <c r="H48" i="21"/>
  <c r="E34" i="21"/>
  <c r="H50" i="21"/>
  <c r="D84" i="21"/>
  <c r="E84" i="21"/>
  <c r="F84" i="21"/>
  <c r="G84" i="21"/>
  <c r="H84" i="21"/>
  <c r="P20" i="21"/>
  <c r="P21" i="21" s="1"/>
  <c r="G67" i="1" l="1"/>
  <c r="C271" i="1" s="1"/>
  <c r="K122" i="1"/>
  <c r="M122" i="1" s="1"/>
  <c r="O122" i="1" s="1"/>
  <c r="K181" i="1"/>
  <c r="M181" i="1" s="1"/>
  <c r="O181" i="1" s="1"/>
  <c r="K129" i="1"/>
  <c r="M129" i="1" s="1"/>
  <c r="O129" i="1" s="1"/>
  <c r="K195" i="1"/>
  <c r="M195" i="1" s="1"/>
  <c r="O195" i="1" s="1"/>
  <c r="G76" i="1"/>
  <c r="G77" i="1" s="1"/>
  <c r="I77" i="1" s="1"/>
  <c r="E74" i="1"/>
  <c r="E73" i="1"/>
  <c r="K143" i="1"/>
  <c r="M143" i="1" s="1"/>
  <c r="O143" i="1" s="1"/>
  <c r="K216" i="1"/>
  <c r="M216" i="1" s="1"/>
  <c r="O216" i="1" s="1"/>
  <c r="K174" i="1"/>
  <c r="M174" i="1" s="1"/>
  <c r="O174" i="1" s="1"/>
  <c r="K136" i="1"/>
  <c r="M136" i="1" s="1"/>
  <c r="O136" i="1" s="1"/>
  <c r="K223" i="1"/>
  <c r="M223" i="1" s="1"/>
  <c r="O223" i="1" s="1"/>
  <c r="K188" i="1"/>
  <c r="M188" i="1" s="1"/>
  <c r="O188" i="1" s="1"/>
  <c r="K115" i="1"/>
  <c r="M115" i="1" s="1"/>
  <c r="O115" i="1" s="1"/>
  <c r="K157" i="1"/>
  <c r="M157" i="1" s="1"/>
  <c r="O157" i="1" s="1"/>
  <c r="K150" i="1"/>
  <c r="M150" i="1" s="1"/>
  <c r="O150" i="1" s="1"/>
  <c r="K202" i="1"/>
  <c r="M202" i="1" s="1"/>
  <c r="O202" i="1" s="1"/>
  <c r="K173" i="1"/>
  <c r="M173" i="1" s="1"/>
  <c r="O173" i="1" s="1"/>
  <c r="K164" i="1"/>
  <c r="M164" i="1" s="1"/>
  <c r="O164" i="1" s="1"/>
  <c r="M42" i="21"/>
  <c r="O42" i="21" s="1"/>
  <c r="K43" i="21"/>
  <c r="K41" i="21"/>
  <c r="M41" i="21" s="1"/>
  <c r="O41" i="21" s="1"/>
  <c r="G108" i="1"/>
  <c r="P67" i="1"/>
  <c r="K152" i="1"/>
  <c r="M152" i="1" s="1"/>
  <c r="O152" i="1" s="1"/>
  <c r="K225" i="1"/>
  <c r="M225" i="1" s="1"/>
  <c r="O225" i="1" s="1"/>
  <c r="K176" i="1"/>
  <c r="M176" i="1" s="1"/>
  <c r="O176" i="1" s="1"/>
  <c r="K131" i="1"/>
  <c r="M131" i="1" s="1"/>
  <c r="O131" i="1" s="1"/>
  <c r="K190" i="1"/>
  <c r="M190" i="1" s="1"/>
  <c r="O190" i="1" s="1"/>
  <c r="K159" i="1"/>
  <c r="M159" i="1" s="1"/>
  <c r="O159" i="1" s="1"/>
  <c r="K117" i="1"/>
  <c r="M117" i="1" s="1"/>
  <c r="O117" i="1" s="1"/>
  <c r="K166" i="1"/>
  <c r="M166" i="1" s="1"/>
  <c r="O166" i="1" s="1"/>
  <c r="G84" i="1"/>
  <c r="K183" i="1"/>
  <c r="M183" i="1" s="1"/>
  <c r="O183" i="1" s="1"/>
  <c r="K138" i="1"/>
  <c r="M138" i="1" s="1"/>
  <c r="O138" i="1" s="1"/>
  <c r="K124" i="1"/>
  <c r="M124" i="1" s="1"/>
  <c r="O124" i="1" s="1"/>
  <c r="K218" i="1"/>
  <c r="M218" i="1" s="1"/>
  <c r="O218" i="1" s="1"/>
  <c r="K204" i="1"/>
  <c r="M204" i="1" s="1"/>
  <c r="O204" i="1" s="1"/>
  <c r="K211" i="1"/>
  <c r="M211" i="1" s="1"/>
  <c r="O211" i="1" s="1"/>
  <c r="K145" i="1"/>
  <c r="M145" i="1" s="1"/>
  <c r="O145" i="1" s="1"/>
  <c r="K197" i="1"/>
  <c r="M197" i="1" s="1"/>
  <c r="O197" i="1" s="1"/>
  <c r="I96" i="1"/>
  <c r="G97" i="1"/>
  <c r="I97" i="1" s="1"/>
  <c r="G98" i="1"/>
  <c r="I98" i="1" s="1"/>
  <c r="I104" i="1"/>
  <c r="G106" i="1"/>
  <c r="I106" i="1" s="1"/>
  <c r="G105" i="1"/>
  <c r="I105" i="1" s="1"/>
  <c r="J73" i="1"/>
  <c r="L73" i="1"/>
  <c r="G101" i="1"/>
  <c r="I101" i="1" s="1"/>
  <c r="G102" i="1"/>
  <c r="I102" i="1" s="1"/>
  <c r="I100" i="1"/>
  <c r="J74" i="1"/>
  <c r="L74" i="1" s="1"/>
  <c r="K212" i="1"/>
  <c r="M212" i="1" s="1"/>
  <c r="O212" i="1" s="1"/>
  <c r="K146" i="1"/>
  <c r="M146" i="1" s="1"/>
  <c r="O146" i="1" s="1"/>
  <c r="K226" i="1"/>
  <c r="M226" i="1" s="1"/>
  <c r="O226" i="1" s="1"/>
  <c r="K184" i="1"/>
  <c r="M184" i="1" s="1"/>
  <c r="O184" i="1" s="1"/>
  <c r="K167" i="1"/>
  <c r="M167" i="1" s="1"/>
  <c r="O167" i="1" s="1"/>
  <c r="K153" i="1"/>
  <c r="M153" i="1" s="1"/>
  <c r="O153" i="1" s="1"/>
  <c r="K219" i="1"/>
  <c r="M219" i="1" s="1"/>
  <c r="O219" i="1" s="1"/>
  <c r="K191" i="1"/>
  <c r="M191" i="1" s="1"/>
  <c r="O191" i="1" s="1"/>
  <c r="K139" i="1"/>
  <c r="M139" i="1" s="1"/>
  <c r="O139" i="1" s="1"/>
  <c r="K132" i="1"/>
  <c r="M132" i="1" s="1"/>
  <c r="O132" i="1" s="1"/>
  <c r="K205" i="1"/>
  <c r="M205" i="1" s="1"/>
  <c r="O205" i="1" s="1"/>
  <c r="G88" i="1"/>
  <c r="K160" i="1"/>
  <c r="M160" i="1" s="1"/>
  <c r="O160" i="1" s="1"/>
  <c r="K198" i="1"/>
  <c r="M198" i="1" s="1"/>
  <c r="O198" i="1" s="1"/>
  <c r="K118" i="1"/>
  <c r="M118" i="1" s="1"/>
  <c r="O118" i="1" s="1"/>
  <c r="K177" i="1"/>
  <c r="M177" i="1" s="1"/>
  <c r="O177" i="1" s="1"/>
  <c r="K125" i="1"/>
  <c r="M125" i="1" s="1"/>
  <c r="O125" i="1" s="1"/>
  <c r="I92" i="1"/>
  <c r="G94" i="1"/>
  <c r="I94" i="1" s="1"/>
  <c r="G93" i="1"/>
  <c r="I93" i="1" s="1"/>
  <c r="K196" i="1"/>
  <c r="M196" i="1" s="1"/>
  <c r="O196" i="1" s="1"/>
  <c r="K165" i="1"/>
  <c r="M165" i="1" s="1"/>
  <c r="O165" i="1" s="1"/>
  <c r="K175" i="1"/>
  <c r="M175" i="1" s="1"/>
  <c r="O175" i="1" s="1"/>
  <c r="K137" i="1"/>
  <c r="M137" i="1" s="1"/>
  <c r="O137" i="1" s="1"/>
  <c r="G80" i="1"/>
  <c r="K203" i="1"/>
  <c r="M203" i="1" s="1"/>
  <c r="O203" i="1" s="1"/>
  <c r="K116" i="1"/>
  <c r="M116" i="1" s="1"/>
  <c r="O116" i="1" s="1"/>
  <c r="K158" i="1"/>
  <c r="M158" i="1" s="1"/>
  <c r="O158" i="1" s="1"/>
  <c r="K210" i="1"/>
  <c r="M210" i="1" s="1"/>
  <c r="O210" i="1" s="1"/>
  <c r="K130" i="1"/>
  <c r="M130" i="1" s="1"/>
  <c r="O130" i="1" s="1"/>
  <c r="K189" i="1"/>
  <c r="M189" i="1" s="1"/>
  <c r="O189" i="1" s="1"/>
  <c r="K123" i="1"/>
  <c r="M123" i="1" s="1"/>
  <c r="O123" i="1" s="1"/>
  <c r="K217" i="1"/>
  <c r="M217" i="1" s="1"/>
  <c r="O217" i="1" s="1"/>
  <c r="K224" i="1"/>
  <c r="M224" i="1" s="1"/>
  <c r="O224" i="1" s="1"/>
  <c r="K144" i="1"/>
  <c r="M144" i="1" s="1"/>
  <c r="O144" i="1" s="1"/>
  <c r="K182" i="1"/>
  <c r="M182" i="1" s="1"/>
  <c r="O182" i="1" s="1"/>
  <c r="K151" i="1"/>
  <c r="M151" i="1" s="1"/>
  <c r="O151" i="1" s="1"/>
  <c r="J72" i="1"/>
  <c r="L72" i="1" s="1"/>
  <c r="E35" i="21"/>
  <c r="B9" i="5" s="1"/>
  <c r="P29" i="21"/>
  <c r="K50" i="21"/>
  <c r="M50" i="21" s="1"/>
  <c r="O50" i="21" s="1"/>
  <c r="K44" i="21"/>
  <c r="M44" i="21" s="1"/>
  <c r="O44" i="21" s="1"/>
  <c r="K53" i="21"/>
  <c r="M53" i="21" s="1"/>
  <c r="O53" i="21" s="1"/>
  <c r="K48" i="21"/>
  <c r="M48" i="21" s="1"/>
  <c r="O48" i="21" s="1"/>
  <c r="G34" i="21"/>
  <c r="K51" i="21"/>
  <c r="M51" i="21" s="1"/>
  <c r="O51" i="21" s="1"/>
  <c r="K54" i="21"/>
  <c r="M54" i="21" s="1"/>
  <c r="O54" i="21" s="1"/>
  <c r="K52" i="21"/>
  <c r="M52" i="21" s="1"/>
  <c r="O52" i="21" s="1"/>
  <c r="K49" i="21"/>
  <c r="M49" i="21" s="1"/>
  <c r="O49" i="21" s="1"/>
  <c r="G78" i="1" l="1"/>
  <c r="I78" i="1" s="1"/>
  <c r="I76" i="1"/>
  <c r="I38" i="21"/>
  <c r="J38" i="21" s="1"/>
  <c r="L38" i="21" s="1"/>
  <c r="M43" i="21"/>
  <c r="O43" i="21" s="1"/>
  <c r="J102" i="1"/>
  <c r="L102" i="1" s="1"/>
  <c r="J93" i="1"/>
  <c r="L93" i="1" s="1"/>
  <c r="G89" i="1"/>
  <c r="I89" i="1" s="1"/>
  <c r="G90" i="1"/>
  <c r="I90" i="1" s="1"/>
  <c r="I88" i="1"/>
  <c r="J101" i="1"/>
  <c r="L101" i="1" s="1"/>
  <c r="J96" i="1"/>
  <c r="L96" i="1" s="1"/>
  <c r="J97" i="1"/>
  <c r="L97" i="1"/>
  <c r="J92" i="1"/>
  <c r="L92" i="1" s="1"/>
  <c r="J78" i="1"/>
  <c r="L78" i="1" s="1"/>
  <c r="G81" i="1"/>
  <c r="I81" i="1" s="1"/>
  <c r="I80" i="1"/>
  <c r="G82" i="1"/>
  <c r="I82" i="1" s="1"/>
  <c r="J105" i="1"/>
  <c r="L105" i="1" s="1"/>
  <c r="J76" i="1"/>
  <c r="L76" i="1" s="1"/>
  <c r="J106" i="1"/>
  <c r="L106" i="1"/>
  <c r="J77" i="1"/>
  <c r="L77" i="1" s="1"/>
  <c r="J94" i="1"/>
  <c r="L94" i="1" s="1"/>
  <c r="I84" i="1"/>
  <c r="G86" i="1"/>
  <c r="I86" i="1" s="1"/>
  <c r="G85" i="1"/>
  <c r="I85" i="1" s="1"/>
  <c r="J104" i="1"/>
  <c r="L104" i="1" s="1"/>
  <c r="J100" i="1"/>
  <c r="L100" i="1"/>
  <c r="J98" i="1"/>
  <c r="L98" i="1" s="1"/>
  <c r="G110" i="1"/>
  <c r="I110" i="1" s="1"/>
  <c r="G109" i="1"/>
  <c r="I109" i="1" s="1"/>
  <c r="I108" i="1"/>
  <c r="C84" i="21"/>
  <c r="G35" i="21"/>
  <c r="I35" i="21" s="1"/>
  <c r="J35" i="21" s="1"/>
  <c r="L35" i="21" s="1"/>
  <c r="I34" i="21"/>
  <c r="J34" i="21" s="1"/>
  <c r="J86" i="1" l="1"/>
  <c r="L86" i="1" s="1"/>
  <c r="J84" i="1"/>
  <c r="L84" i="1"/>
  <c r="J88" i="1"/>
  <c r="L88" i="1" s="1"/>
  <c r="J89" i="1"/>
  <c r="L89" i="1"/>
  <c r="J110" i="1"/>
  <c r="L110" i="1" s="1"/>
  <c r="J90" i="1"/>
  <c r="L90" i="1" s="1"/>
  <c r="J82" i="1"/>
  <c r="L82" i="1" s="1"/>
  <c r="J80" i="1"/>
  <c r="L80" i="1" s="1"/>
  <c r="J81" i="1"/>
  <c r="L81" i="1"/>
  <c r="J108" i="1"/>
  <c r="L108" i="1"/>
  <c r="J109" i="1"/>
  <c r="L109" i="1" s="1"/>
  <c r="J85" i="1"/>
  <c r="L85" i="1" s="1"/>
  <c r="L34" i="21"/>
  <c r="A59" i="21" l="1"/>
  <c r="A59" i="21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<sst xmlns="http://schemas.openxmlformats.org/spreadsheetml/2006/main" count="1078" uniqueCount="410">
  <si>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</si>
  <si>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</si>
  <si>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</si>
  <si>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</si>
  <si>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</si>
  <si>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</si>
  <si>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</si>
  <si>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</si>
  <si>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</si>
  <si>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</si>
  <si>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</si>
  <si>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</si>
  <si>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</si>
  <si>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</si>
  <si>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</si>
  <si>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</si>
  <si>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</si>
  <si>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</si>
  <si>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</si>
  <si>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</si>
  <si>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</si>
  <si>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</si>
  <si>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</si>
  <si>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</si>
  <si>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</si>
  <si>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</si>
  <si>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</si>
  <si>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</si>
  <si>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</si>
  <si>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</si>
  <si>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</si>
  <si>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</si>
  <si>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</si>
  <si>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</si>
  <si>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</si>
  <si>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</si>
  <si>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</si>
  <si>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</si>
  <si>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</si>
  <si>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</si>
  <si>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</si>
  <si>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</si>
  <si>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</si>
  <si>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</si>
  <si>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</si>
  <si>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</si>
  <si>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</si>
  <si>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</si>
  <si>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</si>
  <si>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</si>
  <si>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</si>
  <si>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</si>
  <si>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</si>
  <si>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</si>
  <si>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</si>
  <si>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</si>
  <si>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</si>
  <si>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</si>
  <si>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</si>
  <si>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</si>
  <si>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</si>
  <si>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</si>
  <si>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</si>
  <si>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</si>
  <si>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</si>
  <si>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</si>
  <si>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</si>
  <si>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</si>
  <si>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</si>
  <si>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</si>
  <si>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</si>
  <si>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</si>
  <si>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</si>
  <si>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</si>
  <si>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</si>
  <si>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</si>
  <si>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</si>
  <si>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</si>
  <si>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</si>
  <si>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</si>
  <si>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</si>
  <si>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</si>
  <si>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</si>
  <si>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</si>
  <si>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</si>
  <si>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</si>
  <si>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</si>
  <si>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</si>
  <si>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</si>
  <si>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</si>
  <si>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</si>
  <si>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</si>
  <si>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</si>
  <si>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</si>
  <si>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</si>
  <si>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</si>
  <si>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</si>
  <si>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</si>
  <si>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</si>
  <si>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</si>
  <si>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</si>
  <si>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</si>
  <si>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</si>
  <si>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</si>
  <si>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</si>
  <si>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</si>
  <si>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</si>
  <si>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</si>
  <si>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</si>
  <si>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</si>
  <si>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</si>
  <si>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</si>
  <si>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</si>
  <si>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</si>
  <si>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</si>
  <si>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100% ORGANIC COTTON</t>
  </si>
  <si>
    <t>MCQ</t>
  </si>
  <si>
    <t>DARKEST BLACK</t>
  </si>
  <si>
    <t>SINGLE JERSEY 100% ORGANIC COTTON  170GSM</t>
  </si>
  <si>
    <t>VIỀN CỔ</t>
  </si>
  <si>
    <t>CHỈ 40/2</t>
  </si>
  <si>
    <t>PCS</t>
  </si>
  <si>
    <t>NHÃN SIZE CHỮ 24MM x 12MM</t>
  </si>
  <si>
    <t>NỀN TRẮNG CHỮ ĐEN</t>
  </si>
  <si>
    <t>NHÃN XUẤT XỨ MADE IN VIETNAM 25MM x 12MM</t>
  </si>
  <si>
    <t>NỀN ĐEN CHỮ TRẮNG</t>
  </si>
  <si>
    <t>DÂY RUY BĂNG 76MM x 6MM</t>
  </si>
  <si>
    <t>HYPER LILAC</t>
  </si>
  <si>
    <t>NHÃN THÀNH PHẦN 13CM x 4CM</t>
  </si>
  <si>
    <t>THẺ BÀI TREO SWINGTAG</t>
  </si>
  <si>
    <t>GIẤY CHỐNG ẨM 45CM x 50CM</t>
  </si>
  <si>
    <t>BARCODE STICKER</t>
  </si>
  <si>
    <t>POLYBAG CÓ ĐÁY (SIZE 4) 36CM x 49CM</t>
  </si>
  <si>
    <t>THÙNG CARTON 60CM x 40CM x 40CM</t>
  </si>
  <si>
    <t>BIG POLYBAG</t>
  </si>
  <si>
    <t>CLEAR</t>
  </si>
  <si>
    <t>SPECIAL STICKER</t>
  </si>
  <si>
    <t>DUYỆT NHÃN ÉP THEO</t>
  </si>
  <si>
    <t>KÍCH THƯỚC NHÃN ÉP</t>
  </si>
  <si>
    <t>- ĐỊNH VỊ HÌNH IN:
TỪ GIỮA TRƯỚC QUA TRÁI</t>
  </si>
  <si>
    <t>- ĐỊNH VỊ HÌNH IN:
TỪ ĐỈNH VAI XUỐNG</t>
  </si>
  <si>
    <t>CHÚ Ý:</t>
  </si>
  <si>
    <t>CHỈ MAY CHÍNH</t>
  </si>
  <si>
    <t>3XS</t>
  </si>
  <si>
    <t>3XL</t>
  </si>
  <si>
    <t>FROM CF TO EDGE OF ARTWORK</t>
  </si>
  <si>
    <t>FROM HSP TO EDGE OF ARTWORK</t>
  </si>
  <si>
    <t>2XL</t>
  </si>
  <si>
    <t>2XS</t>
  </si>
  <si>
    <t>3D HEAT TRANSFER PLACEMENT AT LEFT CHEST (CM)</t>
  </si>
  <si>
    <t>KHÔNG THÊU</t>
  </si>
  <si>
    <t>KHÔNG WASH</t>
  </si>
  <si>
    <t>- CÁCH MAY NHƯ ÁO MẪU + TÀI LIỆU ĐÍNH KÈM</t>
  </si>
  <si>
    <t>- CÁCH GẮN NHÃN PHẢI NHƯ TÀI LIỆU YÊU CẦU</t>
  </si>
  <si>
    <t>- NHÃN SIZE - SỐ LƯỢNG MỖI SIZE NHƯ SAU:</t>
  </si>
  <si>
    <t>PLASTISOL PRINT AT BACK BODY (CM)</t>
  </si>
  <si>
    <t>CENTERED, FROM HSP TO EDGE OF ARTWORK</t>
  </si>
  <si>
    <t>OVERCAST</t>
  </si>
  <si>
    <t>WILD MUSHROOM</t>
  </si>
  <si>
    <t>STICKER KHÁCH GỬI</t>
  </si>
  <si>
    <t>1.216CM x 6.5CM</t>
  </si>
  <si>
    <t>- DÀI DÂY LUỒN DƯ RA KHỎI MẮT CÁO CHO MỖI BÊN 20CM</t>
  </si>
  <si>
    <t>- DÀI DÂY LUỒN CHO MỖI SIZE NHƯ SAU</t>
  </si>
  <si>
    <t>DÀI DÂY LUỒN (CM)</t>
  </si>
  <si>
    <t>IN THÂN SAU</t>
  </si>
  <si>
    <t>THÔNG TIN ĐỊNH VỊ HÌNH IN (CM)</t>
  </si>
  <si>
    <t>35CM x 45.5CM</t>
  </si>
  <si>
    <t>- ĐỊNH VỊ HÌNH IN:
CANH GIỮA THÂN SAU, TỪ ĐỈNH VAI XUỐNG</t>
  </si>
  <si>
    <t>KÍCH THƯỚC HÌNH IN</t>
  </si>
  <si>
    <t>RELAXED HOODIE</t>
  </si>
  <si>
    <t>HOODIE</t>
  </si>
  <si>
    <t>FRENCH TERRY 100% ORGANIC COTTON 430GSM</t>
  </si>
  <si>
    <t>BO LAI + BO TAY</t>
  </si>
  <si>
    <t>RIB 1X1  92%ORGANIC COTTON 2%SPANDEX 450GSM</t>
  </si>
  <si>
    <t>PUNCH</t>
  </si>
  <si>
    <t>163CM</t>
  </si>
  <si>
    <t>IN: IN HIGH DENSITY TẠI NGỰC TRÁI + IN RUBBER TẠI GIỮA THÂN SAU</t>
  </si>
  <si>
    <t>IN HIGH DENSITY TẠI NGỰC TRÁI</t>
  </si>
  <si>
    <t>NỀN ĐEN CHỮ TÍM</t>
  </si>
  <si>
    <t>KHÁCH HÀNG CUNG CẤP</t>
  </si>
  <si>
    <t>NHÃN DỆT</t>
  </si>
  <si>
    <t>NHÃN CHÍNH GẮN CHIP NFC 55MM x 30MM</t>
  </si>
  <si>
    <t>EA0147614C</t>
  </si>
  <si>
    <t>NHÃN SATIN NFC 12CM x 4CM</t>
  </si>
  <si>
    <t>DÂY LUỒN TRÒN NHÚNG SILICON 5MM</t>
  </si>
  <si>
    <t>102519D</t>
  </si>
  <si>
    <t>LOẠI 1</t>
  </si>
  <si>
    <t>MCQ38N</t>
  </si>
  <si>
    <t>- ĐẢM BẢO MẮT CÁO 2 BÊN PHẢI BẰNG NHAU SAU KHI LUỒN DÂY, TRÁNH LÀM MẮT CÁO BỊ GIÃN</t>
  </si>
  <si>
    <t>- KHÔNG ỦI/PHÀ HƠI LÊN NHÃN CHÍNH GẮN CHIP NFC VÀ HÌNH IN HIGH DENSITY</t>
  </si>
  <si>
    <t>THAM KHẢO ÁO MẪU SMS, MÙA SS21, MÃ HD1461, MÀU GREY MELANGE, SIZE M
THAM KHẢO MẮT CÁO &amp; SỐNG NÓN: ÁO MẪU PP, MÃ HÀNG HS1461C, MÀU DARKEST BLACK, SIZE M ĐANG TIẾN HÀNH SẢN XUẤT</t>
  </si>
  <si>
    <t>MER - OANH NGUYỄN: 206</t>
  </si>
  <si>
    <t>M21  C5  S2247</t>
  </si>
  <si>
    <t>1461-HD14</t>
  </si>
  <si>
    <t>C5</t>
  </si>
  <si>
    <t>DROP 1</t>
  </si>
  <si>
    <t>CANOPY</t>
  </si>
  <si>
    <t>ATOMIC BLASTER</t>
  </si>
  <si>
    <t>ALLOY</t>
  </si>
  <si>
    <t>ROCKET</t>
  </si>
  <si>
    <t>VẢI MÀU CANOPY IN MÀU BLACK
FOLLOW CHẤT LƯỢNG SẢN XUẤT SS21 - DROP 4</t>
  </si>
  <si>
    <t>VẢI MÀU ATOMIC BLASTER IN MÀU BLACK
FOLLOW CHẤT LƯỢNG SẢN XUẤT SS21 - DROP 4</t>
  </si>
  <si>
    <t>VẢI MÀU ALLOY IN MÀU BLACK
FOLLOW CHẤT LƯỢNG SẢN XUẤT SS21 - DROP 4</t>
  </si>
  <si>
    <t>VẢI MÀU ROCKET IN MÀU BLACK
FOLLOW CHẤT LƯỢNG SẢN XUẤT SS21 - DROP 4</t>
  </si>
  <si>
    <t>TIỆP MÀU VẢI CHÍNH</t>
  </si>
  <si>
    <t xml:space="preserve">HYPER LILAC         </t>
  </si>
  <si>
    <t xml:space="preserve">OPTIC WHITE         </t>
  </si>
  <si>
    <t>SIZE TRÊN NHÃN CARE:</t>
  </si>
  <si>
    <t>170/88A</t>
  </si>
  <si>
    <t>175/92A</t>
  </si>
  <si>
    <t>175/96A</t>
  </si>
  <si>
    <t>175/100A</t>
  </si>
  <si>
    <t>180/104A</t>
  </si>
  <si>
    <t>180/108A</t>
  </si>
  <si>
    <t>IN:</t>
  </si>
  <si>
    <t>CHỈ CHÍNH 40/2</t>
  </si>
  <si>
    <t>100%COTTON</t>
  </si>
  <si>
    <t>BLACK/WHITE</t>
  </si>
  <si>
    <t>NHÃN THÀNH PHẦN 30MM X 114MM</t>
  </si>
  <si>
    <t>THÙNG CARTON 60CM x 40CM x 30CM</t>
  </si>
  <si>
    <t>MAY TẠI GIỮA CỔ SAU, BÊN TRONG, MAY GẬP ĐÔI VÀO VIỀN CỔ</t>
  </si>
  <si>
    <t>SS TEE</t>
  </si>
  <si>
    <t>BO CỔ</t>
  </si>
  <si>
    <t>VẢI CHÍNH + VIỀN CỔ</t>
  </si>
  <si>
    <t>DUYỆT HÌNH IN THEO</t>
  </si>
  <si>
    <t>BLACK</t>
  </si>
  <si>
    <t>THẺ BÀI TREO</t>
  </si>
  <si>
    <t>RTFKT-AST2 + 
NP-MX-P22/BCX-SAFETY PIN +
9S0002-CW-BK001-STRING 2MM THICKNESS</t>
  </si>
  <si>
    <t>BARCODE STICKER 45MM X 30MM</t>
  </si>
  <si>
    <t>RTFKT POLYBAG 15" X 20"</t>
  </si>
  <si>
    <t>XXXL</t>
  </si>
  <si>
    <t>7.1499” H x 15” W</t>
  </si>
  <si>
    <t>2.86” H x  6” W</t>
  </si>
  <si>
    <t>IN BTP THÂN SAU:  SOFTHAND PLASTISOL SCREENPRINT +HD GLOW IN THE DARK OVERLAY - CHUYỂN BTP CHO INHOUSE</t>
  </si>
  <si>
    <t>IN BTP THÂN TRƯỚC -  SOFTHAND PLASTISOL SCREENPRINT +HD GLOW IN THE DARK OVERLAY - CHUYỂN BTP CHO INHOUSE</t>
  </si>
  <si>
    <t>CUSTOMER</t>
  </si>
  <si>
    <t xml:space="preserve">SEASON </t>
  </si>
  <si>
    <t xml:space="preserve">ITEM DESCRIPTION </t>
  </si>
  <si>
    <t xml:space="preserve">STYLE NAME </t>
  </si>
  <si>
    <t xml:space="preserve">SS TEE </t>
  </si>
  <si>
    <t xml:space="preserve">FABRIC </t>
  </si>
  <si>
    <t>STYLE #</t>
  </si>
  <si>
    <t xml:space="preserve">COLORWAYS </t>
  </si>
  <si>
    <t>MEAS. CODE</t>
  </si>
  <si>
    <t>POINT OF MEASUREMENT NAME</t>
  </si>
  <si>
    <t>HOW TO MEASURE INSTRUCTION</t>
  </si>
  <si>
    <t>POM CRITICALITY</t>
  </si>
  <si>
    <t>THÔNG SỐ</t>
  </si>
  <si>
    <t>Tolerance
(-)</t>
  </si>
  <si>
    <t>Tolerance
(+)</t>
  </si>
  <si>
    <t>100-A</t>
  </si>
  <si>
    <t>BAND HEIGHT</t>
  </si>
  <si>
    <t>seam to finished edge (neckband)</t>
  </si>
  <si>
    <t>Critical</t>
  </si>
  <si>
    <t>CAO BO CỔ</t>
  </si>
  <si>
    <t>0.3</t>
  </si>
  <si>
    <t>2.5</t>
  </si>
  <si>
    <t>200-A</t>
  </si>
  <si>
    <t>BACK NECK DROP</t>
  </si>
  <si>
    <t>straight from HPS to seam</t>
  </si>
  <si>
    <t>0.5</t>
  </si>
  <si>
    <t>2.7</t>
  </si>
  <si>
    <t>3.0</t>
  </si>
  <si>
    <t>3.2</t>
  </si>
  <si>
    <t>3.3</t>
  </si>
  <si>
    <t>3.4</t>
  </si>
  <si>
    <t>201-A</t>
  </si>
  <si>
    <t>BACK NECK WIDTH</t>
  </si>
  <si>
    <t>across back, seam to seam</t>
  </si>
  <si>
    <t>RỘNG CỔ SAU</t>
  </si>
  <si>
    <t>1.0</t>
  </si>
  <si>
    <t>18.2</t>
  </si>
  <si>
    <t>19.0</t>
  </si>
  <si>
    <t>19.9</t>
  </si>
  <si>
    <t>20.8</t>
  </si>
  <si>
    <t>22.6</t>
  </si>
  <si>
    <t>240-C</t>
  </si>
  <si>
    <t>SHOULDER WIDTH</t>
  </si>
  <si>
    <t>Across shoulder ;point to point, seam or edge-Drop Shoulder</t>
  </si>
  <si>
    <t>1.5</t>
  </si>
  <si>
    <t>49.5</t>
  </si>
  <si>
    <t>52.5</t>
  </si>
  <si>
    <t>55.5</t>
  </si>
  <si>
    <t>58.5</t>
  </si>
  <si>
    <t>61.7</t>
  </si>
  <si>
    <t>64.9</t>
  </si>
  <si>
    <t>68.1</t>
  </si>
  <si>
    <t>99-A</t>
  </si>
  <si>
    <t>X DISTANCE</t>
  </si>
  <si>
    <t>upper back width, distance down from HPS</t>
  </si>
  <si>
    <t>VỊ TRÍ NGANG SAU_ TỪ ĐỈNH VAI XUỐNG</t>
  </si>
  <si>
    <t>21.7</t>
  </si>
  <si>
    <t>22.0</t>
  </si>
  <si>
    <t>22.5</t>
  </si>
  <si>
    <t>23.2</t>
  </si>
  <si>
    <t>23.9</t>
  </si>
  <si>
    <t>24.6</t>
  </si>
  <si>
    <t>255-A.01</t>
  </si>
  <si>
    <t>UPPER BACK WIDTH</t>
  </si>
  <si>
    <t>distance down HPS-mid armhole</t>
  </si>
  <si>
    <t>RỘNG THÂN SAU_ ĐO TỪ CAO VAI VÀ GIỮA NÁCH</t>
  </si>
  <si>
    <t>44.5</t>
  </si>
  <si>
    <t>47.5</t>
  </si>
  <si>
    <t>50.5</t>
  </si>
  <si>
    <t>53.5</t>
  </si>
  <si>
    <t>56.7</t>
  </si>
  <si>
    <t>59.9</t>
  </si>
  <si>
    <t>63.1</t>
  </si>
  <si>
    <t>260-A</t>
  </si>
  <si>
    <t>BODY WIDTH</t>
  </si>
  <si>
    <t>2.5cm below armhole</t>
  </si>
  <si>
    <t>NGANG NGỰC_ DƯỚI NÁCH 2.5CM</t>
  </si>
  <si>
    <t>50.0</t>
  </si>
  <si>
    <t>54.0</t>
  </si>
  <si>
    <t>58.0</t>
  </si>
  <si>
    <t>62.0</t>
  </si>
  <si>
    <t>67.0</t>
  </si>
  <si>
    <t>72.0</t>
  </si>
  <si>
    <t>77.0</t>
  </si>
  <si>
    <t>264</t>
  </si>
  <si>
    <t>BODY SWEEP</t>
  </si>
  <si>
    <t>flat</t>
  </si>
  <si>
    <t>NGANG LAI</t>
  </si>
  <si>
    <t>230-A</t>
  </si>
  <si>
    <t>BODY LENGTH</t>
  </si>
  <si>
    <t>CB neck seam to btm hem</t>
  </si>
  <si>
    <t>DÀI ÁO_ TỪ GIỮA CỔ SAU</t>
  </si>
  <si>
    <t>70.0</t>
  </si>
  <si>
    <t>71.0</t>
  </si>
  <si>
    <t>74.0</t>
  </si>
  <si>
    <t>76.0</t>
  </si>
  <si>
    <t>78.0</t>
  </si>
  <si>
    <t>80.0</t>
  </si>
  <si>
    <t>270-B.01</t>
  </si>
  <si>
    <t>SS SLEEVE LENGTH</t>
  </si>
  <si>
    <t>CB nk sm to slv join, pivot, to btm hem</t>
  </si>
  <si>
    <t>DÀI TAY_ TỪ GIỮA CỔ SAU</t>
  </si>
  <si>
    <t>47.2</t>
  </si>
  <si>
    <t>48.6</t>
  </si>
  <si>
    <t>51.3</t>
  </si>
  <si>
    <t>52.9</t>
  </si>
  <si>
    <t>54.5</t>
  </si>
  <si>
    <t>56.1</t>
  </si>
  <si>
    <t>275-D</t>
  </si>
  <si>
    <t>SLEEVE WIDTH</t>
  </si>
  <si>
    <t>RỘNG TAY_ DƯỚI NÁCH 2.5CM</t>
  </si>
  <si>
    <t>23.7</t>
  </si>
  <si>
    <t>24.2</t>
  </si>
  <si>
    <t>24.7</t>
  </si>
  <si>
    <t>25.7</t>
  </si>
  <si>
    <t>268</t>
  </si>
  <si>
    <t>27.9</t>
  </si>
  <si>
    <t>29.0</t>
  </si>
  <si>
    <t>280-B.01</t>
  </si>
  <si>
    <t>SLEEVE OPENING</t>
  </si>
  <si>
    <t>flat (short sleeve)</t>
  </si>
  <si>
    <t>18.5</t>
  </si>
  <si>
    <t>19.5</t>
  </si>
  <si>
    <t>20.5</t>
  </si>
  <si>
    <t>21.6</t>
  </si>
  <si>
    <t>22.7</t>
  </si>
  <si>
    <t>238</t>
  </si>
  <si>
    <t>99-N</t>
  </si>
  <si>
    <t>upper front width, distance down from HPS</t>
  </si>
  <si>
    <t>VỊ TRÍ NGANG TRƯỚC_ TỪ ĐỈNH VAI XUỐNG</t>
  </si>
  <si>
    <t>255-B.01</t>
  </si>
  <si>
    <t>UPPER FRONT WIDTH</t>
  </si>
  <si>
    <t>RỘNG THÂN TRƯỚC_ ĐO TỪ CAO VAI VÀ GIỮA NÁCH</t>
  </si>
  <si>
    <t>44.0</t>
  </si>
  <si>
    <t>47.0</t>
  </si>
  <si>
    <t>53.0</t>
  </si>
  <si>
    <t>56.2</t>
  </si>
  <si>
    <t>59.4</t>
  </si>
  <si>
    <t>62.6</t>
  </si>
  <si>
    <t>202-A</t>
  </si>
  <si>
    <t>FRONT NECK DROP</t>
  </si>
  <si>
    <t>11.2</t>
  </si>
  <si>
    <t>11.5</t>
  </si>
  <si>
    <t>12.1</t>
  </si>
  <si>
    <t>12.7</t>
  </si>
  <si>
    <t>13.3</t>
  </si>
  <si>
    <t>13.9</t>
  </si>
  <si>
    <t>205</t>
  </si>
  <si>
    <t>NECK OPENING</t>
  </si>
  <si>
    <t>min. stretched - USE TEMPLATE</t>
  </si>
  <si>
    <t>RỘNG CỔ</t>
  </si>
  <si>
    <t>0.0</t>
  </si>
  <si>
    <t>99.0</t>
  </si>
  <si>
    <t>29.5</t>
  </si>
  <si>
    <t>30.5</t>
  </si>
  <si>
    <t xml:space="preserve"> 4 1/2"</t>
  </si>
  <si>
    <t>4 1/2” DOWN FROM CF NECK (CENTERED HORIZONTALLY)</t>
  </si>
  <si>
    <t>4 1/2"</t>
  </si>
  <si>
    <t>CF AW</t>
  </si>
  <si>
    <t>CB AW</t>
  </si>
  <si>
    <t>PLACEMENT IS 4 1/2” DOWN FROM CB NECK (CENTERED HORIZONTALLY)</t>
  </si>
  <si>
    <t>TỪ GIỮA CỔ TRƯỚC XUỐNG (TÂM NẰM NGANG)</t>
  </si>
  <si>
    <t>TỪ GIỮA CỔ SAU XUỐNG (TÂM NẰM NGANG)</t>
  </si>
  <si>
    <t>MER -KIM OANH:</t>
  </si>
  <si>
    <t xml:space="preserve"> B11  SS25  S2797</t>
  </si>
  <si>
    <t>SS25</t>
  </si>
  <si>
    <t>RIB 1X1 95% COTTON 5%SP, CM 20'S/1 + 140'D, 400GSM</t>
  </si>
  <si>
    <t>THEO PHIẾU CẤP CỦA MER</t>
  </si>
  <si>
    <t>KHÔNG IN</t>
  </si>
  <si>
    <t>THAM KHẢO CÁCH MAY THEO MẪU 
R11-SST56 MÙA SS23 MÀU GREY.</t>
  </si>
  <si>
    <t>NHÃN CHÍNH</t>
  </si>
  <si>
    <t>HEAVY JERSEY SOLID 100% COTTON CM 20'S/2 WITH ENZYME CUT, 300-310GSM</t>
  </si>
  <si>
    <t>137CM</t>
  </si>
  <si>
    <t>FRED AGAIN</t>
  </si>
  <si>
    <t>FR_STS01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</si>
</sst>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0.0\ &quot;INCH&quot;"/>
  </numFmts>
  <fonts count="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1"/>
      <color theme="1"/>
      <name val="Muli"/>
    </font>
    <font>
      <b/>
      <sz val="15"/>
      <color theme="1"/>
      <name val="Muli"/>
    </font>
    <font>
      <sz val="22"/>
      <name val="Euclid Circular A Light"/>
      <family val="2"/>
    </font>
    <font>
      <sz val="28"/>
      <name val="Euclid Circular A Light"/>
      <family val="2"/>
    </font>
    <font>
      <b/>
      <sz val="20"/>
      <name val="Muli"/>
    </font>
    <font>
      <sz val="12"/>
      <color theme="1"/>
      <name val="Calibri"/>
      <family val="2"/>
      <scheme val="minor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20"/>
      <name val="Muli"/>
    </font>
    <font>
      <b/>
      <sz val="35"/>
      <name val="Muli"/>
    </font>
    <font>
      <sz val="10"/>
      <color rgb="FF000000"/>
      <name val="Arial"/>
      <family val="2"/>
    </font>
    <font>
      <b/>
      <sz val="12"/>
      <color theme="1"/>
      <name val="Euclid Circular A"/>
      <family val="2"/>
    </font>
    <font>
      <b/>
      <sz val="20"/>
      <color theme="1"/>
      <name val="Euclid Circular A"/>
      <family val="2"/>
    </font>
    <font>
      <sz val="12"/>
      <color theme="1"/>
      <name val="Euclid Circular A"/>
      <family val="2"/>
    </font>
    <font>
      <sz val="12"/>
      <color rgb="FF000000"/>
      <name val="Euclid Circular A"/>
      <family val="2"/>
    </font>
    <font>
      <b/>
      <sz val="12"/>
      <color indexed="8"/>
      <name val="Euclid Circular A"/>
      <family val="2"/>
    </font>
    <font>
      <sz val="14"/>
      <color theme="1"/>
      <name val="Euclid Circular A"/>
      <family val="2"/>
    </font>
    <font>
      <sz val="12"/>
      <color indexed="8"/>
      <name val="Euclid Circular A"/>
      <family val="2"/>
    </font>
    <font>
      <sz val="12"/>
      <name val="Euclid Circular A"/>
      <family val="2"/>
    </font>
    <font>
      <sz val="12"/>
      <color rgb="FFFF0000"/>
      <name val="Euclid Circular A"/>
      <family val="2"/>
    </font>
    <font>
      <b/>
      <sz val="26"/>
      <color rgb="FFFF0000"/>
      <name val="Muli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6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4" fillId="0" borderId="0"/>
    <xf numFmtId="0" fontId="1" fillId="0" borderId="0"/>
    <xf numFmtId="0" fontId="76" fillId="0" borderId="0"/>
    <xf numFmtId="0" fontId="1" fillId="0" borderId="0"/>
    <xf numFmtId="0" fontId="80" fillId="0" borderId="0"/>
  </cellStyleXfs>
  <cellXfs count="445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left" vertical="center"/>
    </xf>
    <xf numFmtId="0" fontId="36" fillId="12" borderId="0" xfId="0" applyFont="1" applyFill="1" applyAlignment="1">
      <alignment horizontal="center" vertical="center"/>
    </xf>
    <xf numFmtId="1" fontId="36" fillId="12" borderId="0" xfId="0" applyNumberFormat="1" applyFont="1" applyFill="1" applyAlignment="1">
      <alignment horizontal="right" vertical="center"/>
    </xf>
    <xf numFmtId="1" fontId="36" fillId="1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4" borderId="3" xfId="0" applyFont="1" applyFill="1" applyBorder="1" applyAlignment="1">
      <alignment horizontal="center" vertical="center"/>
    </xf>
    <xf numFmtId="1" fontId="26" fillId="14" borderId="3" xfId="0" applyNumberFormat="1" applyFont="1" applyFill="1" applyBorder="1" applyAlignment="1">
      <alignment vertical="center"/>
    </xf>
    <xf numFmtId="1" fontId="26" fillId="14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9" fillId="10" borderId="14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46" fillId="0" borderId="0" xfId="0" applyFont="1"/>
    <xf numFmtId="0" fontId="70" fillId="0" borderId="0" xfId="0" applyFont="1" applyAlignment="1">
      <alignment vertical="center"/>
    </xf>
    <xf numFmtId="0" fontId="46" fillId="0" borderId="14" xfId="0" applyFont="1" applyBorder="1" applyAlignment="1">
      <alignment horizontal="center" vertical="center" wrapText="1"/>
    </xf>
    <xf numFmtId="0" fontId="46" fillId="15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63" fillId="0" borderId="14" xfId="0" applyNumberFormat="1" applyFont="1" applyBorder="1" applyAlignment="1">
      <alignment horizontal="center" vertical="center" wrapText="1"/>
    </xf>
    <xf numFmtId="0" fontId="58" fillId="13" borderId="14" xfId="2" applyFont="1" applyFill="1" applyBorder="1" applyAlignment="1">
      <alignment horizontal="center" vertical="center" wrapText="1"/>
    </xf>
    <xf numFmtId="49" fontId="71" fillId="17" borderId="0" xfId="0" applyNumberFormat="1" applyFont="1" applyFill="1" applyAlignment="1">
      <alignment horizontal="center"/>
    </xf>
    <xf numFmtId="0" fontId="71" fillId="17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49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center"/>
    </xf>
    <xf numFmtId="1" fontId="71" fillId="0" borderId="0" xfId="0" applyNumberFormat="1" applyFont="1" applyAlignment="1">
      <alignment horizontal="center"/>
    </xf>
    <xf numFmtId="49" fontId="72" fillId="17" borderId="0" xfId="0" applyNumberFormat="1" applyFont="1" applyFill="1" applyAlignment="1">
      <alignment horizontal="center"/>
    </xf>
    <xf numFmtId="0" fontId="72" fillId="17" borderId="0" xfId="0" applyFont="1" applyFill="1" applyAlignment="1">
      <alignment horizontal="center"/>
    </xf>
    <xf numFmtId="1" fontId="72" fillId="17" borderId="0" xfId="0" applyNumberFormat="1" applyFont="1" applyFill="1" applyAlignment="1">
      <alignment horizontal="center"/>
    </xf>
    <xf numFmtId="1" fontId="31" fillId="0" borderId="15" xfId="1" applyNumberFormat="1" applyFont="1" applyBorder="1" applyAlignment="1">
      <alignment horizontal="center" vertical="center" wrapText="1"/>
    </xf>
    <xf numFmtId="0" fontId="73" fillId="2" borderId="1" xfId="0" applyFont="1" applyFill="1" applyBorder="1" applyAlignment="1">
      <alignment vertical="center"/>
    </xf>
    <xf numFmtId="1" fontId="32" fillId="2" borderId="14" xfId="0" applyNumberFormat="1" applyFont="1" applyFill="1" applyBorder="1" applyAlignment="1">
      <alignment vertical="center" wrapText="1"/>
    </xf>
    <xf numFmtId="1" fontId="32" fillId="0" borderId="14" xfId="0" applyNumberFormat="1" applyFont="1" applyBorder="1" applyAlignment="1">
      <alignment vertical="center" wrapText="1"/>
    </xf>
    <xf numFmtId="1" fontId="31" fillId="0" borderId="14" xfId="1" applyNumberFormat="1" applyFont="1" applyBorder="1" applyAlignment="1">
      <alignment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vertical="center" wrapText="1"/>
    </xf>
    <xf numFmtId="1" fontId="75" fillId="0" borderId="14" xfId="1" applyNumberFormat="1" applyFont="1" applyBorder="1" applyAlignment="1">
      <alignment horizontal="center" vertical="center" wrapText="1"/>
    </xf>
    <xf numFmtId="1" fontId="75" fillId="0" borderId="14" xfId="0" applyNumberFormat="1" applyFont="1" applyBorder="1" applyAlignment="1">
      <alignment horizontal="center" vertical="center" wrapText="1"/>
    </xf>
    <xf numFmtId="2" fontId="31" fillId="0" borderId="14" xfId="0" applyNumberFormat="1" applyFont="1" applyBorder="1" applyAlignment="1">
      <alignment horizontal="center" vertical="center" wrapText="1"/>
    </xf>
    <xf numFmtId="165" fontId="31" fillId="0" borderId="10" xfId="0" applyNumberFormat="1" applyFont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/>
    </xf>
    <xf numFmtId="174" fontId="27" fillId="0" borderId="14" xfId="0" quotePrefix="1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77" fillId="17" borderId="0" xfId="0" applyFont="1" applyFill="1" applyAlignment="1">
      <alignment horizontal="center"/>
    </xf>
    <xf numFmtId="0" fontId="31" fillId="5" borderId="0" xfId="0" applyFont="1" applyFill="1" applyAlignment="1">
      <alignment vertical="center" wrapText="1"/>
    </xf>
    <xf numFmtId="165" fontId="78" fillId="2" borderId="14" xfId="0" applyNumberFormat="1" applyFont="1" applyFill="1" applyBorder="1" applyAlignment="1">
      <alignment horizontal="center" vertical="center" wrapText="1"/>
    </xf>
    <xf numFmtId="165" fontId="78" fillId="0" borderId="14" xfId="0" applyNumberFormat="1" applyFont="1" applyBorder="1" applyAlignment="1">
      <alignment horizontal="center" vertical="center" wrapText="1"/>
    </xf>
    <xf numFmtId="0" fontId="31" fillId="18" borderId="0" xfId="0" applyFont="1" applyFill="1" applyAlignment="1">
      <alignment vertical="center" wrapText="1"/>
    </xf>
    <xf numFmtId="2" fontId="78" fillId="2" borderId="14" xfId="0" applyNumberFormat="1" applyFont="1" applyFill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vertical="center" wrapText="1"/>
    </xf>
    <xf numFmtId="1" fontId="64" fillId="0" borderId="11" xfId="1" applyNumberFormat="1" applyFont="1" applyBorder="1" applyAlignment="1">
      <alignment vertical="center" wrapText="1"/>
    </xf>
    <xf numFmtId="0" fontId="32" fillId="2" borderId="11" xfId="0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0" fontId="26" fillId="4" borderId="2" xfId="0" quotePrefix="1" applyFont="1" applyFill="1" applyBorder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79" fillId="0" borderId="15" xfId="2" applyFont="1" applyBorder="1" applyAlignment="1">
      <alignment horizontal="center" vertical="center"/>
    </xf>
    <xf numFmtId="175" fontId="27" fillId="0" borderId="14" xfId="0" quotePrefix="1" applyNumberFormat="1" applyFont="1" applyBorder="1" applyAlignment="1">
      <alignment horizontal="center" vertical="center" wrapText="1"/>
    </xf>
    <xf numFmtId="0" fontId="32" fillId="2" borderId="14" xfId="0" applyFont="1" applyFill="1" applyBorder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32" fillId="3" borderId="14" xfId="0" applyFont="1" applyFill="1" applyBorder="1" applyAlignment="1">
      <alignment horizontal="center" vertical="center"/>
    </xf>
    <xf numFmtId="0" fontId="67" fillId="0" borderId="0" xfId="0" quotePrefix="1" applyFont="1" applyAlignment="1">
      <alignment horizontal="left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vertical="center"/>
    </xf>
    <xf numFmtId="0" fontId="31" fillId="2" borderId="14" xfId="0" applyFont="1" applyFill="1" applyBorder="1" applyAlignment="1">
      <alignment vertical="center" wrapText="1"/>
    </xf>
    <xf numFmtId="0" fontId="81" fillId="2" borderId="15" xfId="0" applyFont="1" applyFill="1" applyBorder="1" applyAlignment="1">
      <alignment horizontal="left" vertical="center"/>
    </xf>
    <xf numFmtId="0" fontId="82" fillId="2" borderId="15" xfId="0" applyFont="1" applyFill="1" applyBorder="1" applyAlignment="1">
      <alignment horizontal="left" vertical="center" wrapText="1"/>
    </xf>
    <xf numFmtId="0" fontId="83" fillId="2" borderId="14" xfId="0" applyFont="1" applyFill="1" applyBorder="1" applyAlignment="1">
      <alignment horizontal="left" vertical="center" wrapText="1"/>
    </xf>
    <xf numFmtId="0" fontId="83" fillId="2" borderId="15" xfId="0" applyFont="1" applyFill="1" applyBorder="1" applyAlignment="1">
      <alignment vertical="center"/>
    </xf>
    <xf numFmtId="0" fontId="83" fillId="2" borderId="0" xfId="0" applyFont="1" applyFill="1" applyAlignment="1">
      <alignment horizontal="left" vertical="center"/>
    </xf>
    <xf numFmtId="0" fontId="85" fillId="2" borderId="15" xfId="0" applyFont="1" applyFill="1" applyBorder="1" applyAlignment="1">
      <alignment horizontal="left" vertical="center"/>
    </xf>
    <xf numFmtId="0" fontId="83" fillId="2" borderId="15" xfId="0" applyFont="1" applyFill="1" applyBorder="1" applyAlignment="1">
      <alignment horizontal="left" vertical="center" wrapText="1"/>
    </xf>
    <xf numFmtId="0" fontId="86" fillId="2" borderId="15" xfId="0" applyFont="1" applyFill="1" applyBorder="1" applyAlignment="1">
      <alignment vertical="center" wrapText="1"/>
    </xf>
    <xf numFmtId="0" fontId="83" fillId="2" borderId="15" xfId="0" applyFont="1" applyFill="1" applyBorder="1" applyAlignment="1">
      <alignment vertical="center" wrapText="1"/>
    </xf>
    <xf numFmtId="0" fontId="81" fillId="2" borderId="47" xfId="0" applyFont="1" applyFill="1" applyBorder="1" applyAlignment="1">
      <alignment horizontal="left" vertical="center"/>
    </xf>
    <xf numFmtId="0" fontId="83" fillId="2" borderId="47" xfId="0" applyFont="1" applyFill="1" applyBorder="1" applyAlignment="1">
      <alignment horizontal="left" vertical="center" wrapText="1"/>
    </xf>
    <xf numFmtId="0" fontId="83" fillId="2" borderId="47" xfId="0" applyFont="1" applyFill="1" applyBorder="1"/>
    <xf numFmtId="0" fontId="85" fillId="2" borderId="29" xfId="0" applyFont="1" applyFill="1" applyBorder="1" applyAlignment="1">
      <alignment wrapText="1"/>
    </xf>
    <xf numFmtId="0" fontId="87" fillId="2" borderId="29" xfId="0" applyFont="1" applyFill="1" applyBorder="1" applyAlignment="1">
      <alignment wrapText="1"/>
    </xf>
    <xf numFmtId="0" fontId="83" fillId="2" borderId="29" xfId="0" applyFont="1" applyFill="1" applyBorder="1" applyAlignment="1">
      <alignment horizontal="center"/>
    </xf>
    <xf numFmtId="0" fontId="83" fillId="2" borderId="29" xfId="0" applyFont="1" applyFill="1" applyBorder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2" borderId="0" xfId="0" applyFont="1" applyFill="1"/>
    <xf numFmtId="0" fontId="85" fillId="2" borderId="14" xfId="0" applyFont="1" applyFill="1" applyBorder="1" applyAlignment="1">
      <alignment horizontal="center" vertical="center" wrapText="1"/>
    </xf>
    <xf numFmtId="0" fontId="85" fillId="0" borderId="14" xfId="0" applyFont="1" applyBorder="1" applyAlignment="1">
      <alignment horizontal="center" vertical="center" wrapText="1"/>
    </xf>
    <xf numFmtId="0" fontId="85" fillId="2" borderId="0" xfId="0" applyFont="1" applyFill="1" applyAlignment="1">
      <alignment horizontal="center" vertical="center" wrapText="1"/>
    </xf>
    <xf numFmtId="0" fontId="83" fillId="2" borderId="10" xfId="0" applyFont="1" applyFill="1" applyBorder="1" applyAlignment="1">
      <alignment horizontal="left" vertical="center"/>
    </xf>
    <xf numFmtId="0" fontId="88" fillId="0" borderId="14" xfId="64" applyFont="1" applyBorder="1" applyAlignment="1">
      <alignment vertical="center"/>
    </xf>
    <xf numFmtId="0" fontId="88" fillId="0" borderId="14" xfId="64" applyFont="1" applyBorder="1" applyAlignment="1">
      <alignment vertical="center" wrapText="1"/>
    </xf>
    <xf numFmtId="165" fontId="88" fillId="0" borderId="14" xfId="64" applyNumberFormat="1" applyFont="1" applyBorder="1" applyAlignment="1">
      <alignment horizontal="center" vertical="center"/>
    </xf>
    <xf numFmtId="165" fontId="84" fillId="0" borderId="14" xfId="0" applyNumberFormat="1" applyFont="1" applyBorder="1" applyAlignment="1">
      <alignment horizontal="center" vertical="center"/>
    </xf>
    <xf numFmtId="165" fontId="87" fillId="0" borderId="14" xfId="0" applyNumberFormat="1" applyFont="1" applyBorder="1" applyAlignment="1">
      <alignment horizontal="center" vertical="center"/>
    </xf>
    <xf numFmtId="0" fontId="89" fillId="2" borderId="0" xfId="0" applyFont="1" applyFill="1"/>
    <xf numFmtId="165" fontId="87" fillId="0" borderId="14" xfId="0" quotePrefix="1" applyNumberFormat="1" applyFont="1" applyBorder="1" applyAlignment="1">
      <alignment horizontal="center" vertical="center"/>
    </xf>
    <xf numFmtId="165" fontId="84" fillId="3" borderId="14" xfId="0" applyNumberFormat="1" applyFont="1" applyFill="1" applyBorder="1" applyAlignment="1">
      <alignment horizontal="center" vertical="center"/>
    </xf>
    <xf numFmtId="165" fontId="87" fillId="3" borderId="14" xfId="0" applyNumberFormat="1" applyFont="1" applyFill="1" applyBorder="1" applyAlignment="1">
      <alignment horizontal="center" vertical="center"/>
    </xf>
    <xf numFmtId="0" fontId="83" fillId="0" borderId="14" xfId="0" applyFont="1" applyBorder="1" applyAlignment="1">
      <alignment horizontal="left" vertical="center"/>
    </xf>
    <xf numFmtId="0" fontId="88" fillId="0" borderId="14" xfId="0" applyFont="1" applyBorder="1" applyAlignment="1">
      <alignment vertical="center" wrapText="1"/>
    </xf>
    <xf numFmtId="0" fontId="83" fillId="0" borderId="14" xfId="0" applyFont="1" applyBorder="1" applyAlignment="1">
      <alignment horizontal="left" vertical="center" wrapText="1"/>
    </xf>
    <xf numFmtId="0" fontId="83" fillId="2" borderId="10" xfId="0" applyFont="1" applyFill="1" applyBorder="1" applyAlignment="1">
      <alignment horizontal="center"/>
    </xf>
    <xf numFmtId="0" fontId="88" fillId="0" borderId="14" xfId="0" applyFont="1" applyBorder="1"/>
    <xf numFmtId="12" fontId="84" fillId="3" borderId="14" xfId="0" applyNumberFormat="1" applyFont="1" applyFill="1" applyBorder="1" applyAlignment="1">
      <alignment horizontal="center" vertical="center"/>
    </xf>
    <xf numFmtId="12" fontId="87" fillId="3" borderId="14" xfId="0" applyNumberFormat="1" applyFont="1" applyFill="1" applyBorder="1" applyAlignment="1">
      <alignment horizontal="center" vertical="center"/>
    </xf>
    <xf numFmtId="12" fontId="83" fillId="0" borderId="14" xfId="0" applyNumberFormat="1" applyFont="1" applyBorder="1" applyAlignment="1">
      <alignment horizontal="center" vertical="center"/>
    </xf>
    <xf numFmtId="0" fontId="84" fillId="0" borderId="14" xfId="0" applyFont="1" applyBorder="1" applyAlignment="1">
      <alignment horizontal="left" vertical="center"/>
    </xf>
    <xf numFmtId="12" fontId="84" fillId="0" borderId="14" xfId="0" applyNumberFormat="1" applyFont="1" applyBorder="1" applyAlignment="1">
      <alignment horizontal="center" vertical="center"/>
    </xf>
    <xf numFmtId="12" fontId="87" fillId="0" borderId="14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3" fillId="0" borderId="0" xfId="63" applyFont="1"/>
    <xf numFmtId="12" fontId="84" fillId="0" borderId="14" xfId="0" applyNumberFormat="1" applyFont="1" applyBorder="1" applyAlignment="1">
      <alignment horizontal="center"/>
    </xf>
    <xf numFmtId="0" fontId="83" fillId="0" borderId="14" xfId="63" applyFont="1" applyBorder="1"/>
    <xf numFmtId="0" fontId="83" fillId="2" borderId="14" xfId="0" applyFont="1" applyFill="1" applyBorder="1" applyAlignment="1">
      <alignment horizontal="center"/>
    </xf>
    <xf numFmtId="0" fontId="83" fillId="2" borderId="14" xfId="0" applyFont="1" applyFill="1" applyBorder="1" applyAlignment="1">
      <alignment horizontal="center" vertical="center"/>
    </xf>
    <xf numFmtId="0" fontId="83" fillId="2" borderId="0" xfId="0" applyFont="1" applyFill="1" applyAlignment="1">
      <alignment wrapText="1"/>
    </xf>
    <xf numFmtId="0" fontId="83" fillId="2" borderId="0" xfId="0" applyFont="1" applyFill="1" applyAlignment="1">
      <alignment horizontal="center"/>
    </xf>
    <xf numFmtId="0" fontId="88" fillId="0" borderId="14" xfId="0" quotePrefix="1" applyFont="1" applyBorder="1" applyAlignment="1">
      <alignment horizontal="center" vertical="center" wrapText="1"/>
    </xf>
    <xf numFmtId="175" fontId="32" fillId="0" borderId="14" xfId="0" quotePrefix="1" applyNumberFormat="1" applyFont="1" applyBorder="1" applyAlignment="1">
      <alignment horizontal="center" vertical="center" wrapText="1"/>
    </xf>
    <xf numFmtId="0" fontId="85" fillId="16" borderId="14" xfId="0" applyFont="1" applyFill="1" applyBorder="1" applyAlignment="1">
      <alignment horizontal="center" vertical="center" wrapText="1"/>
    </xf>
    <xf numFmtId="0" fontId="85" fillId="3" borderId="14" xfId="0" applyFont="1" applyFill="1" applyBorder="1" applyAlignment="1">
      <alignment horizontal="center" vertical="center" wrapText="1"/>
    </xf>
    <xf numFmtId="165" fontId="83" fillId="3" borderId="14" xfId="0" applyNumberFormat="1" applyFont="1" applyFill="1" applyBorder="1" applyAlignment="1">
      <alignment horizontal="center" vertical="center"/>
    </xf>
    <xf numFmtId="1" fontId="43" fillId="2" borderId="0" xfId="0" applyNumberFormat="1" applyFont="1" applyFill="1" applyAlignment="1">
      <alignment vertical="center" wrapText="1"/>
    </xf>
    <xf numFmtId="0" fontId="75" fillId="2" borderId="0" xfId="0" applyFont="1" applyFill="1" applyAlignment="1">
      <alignment vertical="center"/>
    </xf>
    <xf numFmtId="0" fontId="75" fillId="2" borderId="0" xfId="0" applyFont="1" applyFill="1" applyAlignment="1">
      <alignment horizontal="left" vertical="center"/>
    </xf>
    <xf numFmtId="0" fontId="90" fillId="2" borderId="2" xfId="0" applyFont="1" applyFill="1" applyBorder="1" applyAlignment="1">
      <alignment horizontal="center" vertical="center"/>
    </xf>
    <xf numFmtId="0" fontId="75" fillId="3" borderId="0" xfId="0" applyFont="1" applyFill="1" applyAlignment="1">
      <alignment vertical="center"/>
    </xf>
    <xf numFmtId="0" fontId="90" fillId="2" borderId="2" xfId="0" applyFont="1" applyFill="1" applyBorder="1" applyAlignment="1">
      <alignment horizontal="left" vertical="center"/>
    </xf>
    <xf numFmtId="0" fontId="90" fillId="3" borderId="0" xfId="0" applyFont="1" applyFill="1" applyAlignment="1">
      <alignment vertical="center"/>
    </xf>
    <xf numFmtId="165" fontId="85" fillId="16" borderId="14" xfId="0" applyNumberFormat="1" applyFont="1" applyFill="1" applyBorder="1" applyAlignment="1">
      <alignment horizontal="center" vertical="center"/>
    </xf>
    <xf numFmtId="165" fontId="85" fillId="16" borderId="14" xfId="0" quotePrefix="1" applyNumberFormat="1" applyFont="1" applyFill="1" applyBorder="1" applyAlignment="1">
      <alignment horizontal="center" vertical="center"/>
    </xf>
    <xf numFmtId="0" fontId="75" fillId="2" borderId="1" xfId="0" applyFont="1" applyFill="1" applyBorder="1" applyAlignment="1">
      <alignment horizontal="left" vertical="center"/>
    </xf>
    <xf numFmtId="0" fontId="75" fillId="2" borderId="1" xfId="0" applyFont="1" applyFill="1" applyBorder="1" applyAlignment="1">
      <alignment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31" fillId="9" borderId="14" xfId="0" quotePrefix="1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9" borderId="15" xfId="0" quotePrefix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59" fillId="2" borderId="0" xfId="0" applyFont="1" applyFill="1" applyAlignment="1">
      <alignment horizontal="left" vertical="center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64" fillId="0" borderId="11" xfId="1" applyNumberFormat="1" applyFont="1" applyBorder="1" applyAlignment="1">
      <alignment horizontal="center" vertical="center" wrapText="1"/>
    </xf>
    <xf numFmtId="1" fontId="64" fillId="0" borderId="49" xfId="1" applyNumberFormat="1" applyFont="1" applyBorder="1" applyAlignment="1">
      <alignment horizontal="center" vertical="center" wrapText="1"/>
    </xf>
    <xf numFmtId="1" fontId="64" fillId="0" borderId="10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1" fontId="64" fillId="0" borderId="14" xfId="1" applyNumberFormat="1" applyFont="1" applyBorder="1" applyAlignment="1">
      <alignment horizontal="center" vertical="center" wrapText="1"/>
    </xf>
    <xf numFmtId="1" fontId="75" fillId="2" borderId="14" xfId="0" applyNumberFormat="1" applyFont="1" applyFill="1" applyBorder="1" applyAlignment="1">
      <alignment horizontal="center" vertical="center" wrapText="1"/>
    </xf>
    <xf numFmtId="1" fontId="32" fillId="0" borderId="11" xfId="0" applyNumberFormat="1" applyFont="1" applyBorder="1" applyAlignment="1">
      <alignment horizontal="center" vertical="center" wrapText="1"/>
    </xf>
    <xf numFmtId="1" fontId="32" fillId="0" borderId="49" xfId="0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 vertical="center" wrapText="1"/>
    </xf>
    <xf numFmtId="1" fontId="75" fillId="2" borderId="11" xfId="0" applyNumberFormat="1" applyFont="1" applyFill="1" applyBorder="1" applyAlignment="1">
      <alignment horizontal="center" vertical="center" wrapText="1"/>
    </xf>
    <xf numFmtId="1" fontId="75" fillId="2" borderId="49" xfId="0" applyNumberFormat="1" applyFont="1" applyFill="1" applyBorder="1" applyAlignment="1">
      <alignment horizontal="center" vertical="center" wrapText="1"/>
    </xf>
    <xf numFmtId="1" fontId="75" fillId="2" borderId="10" xfId="0" applyNumberFormat="1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2" fillId="2" borderId="49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52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53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1" fillId="0" borderId="48" xfId="0" applyFont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1" fontId="31" fillId="0" borderId="11" xfId="1" applyNumberFormat="1" applyFont="1" applyBorder="1" applyAlignment="1">
      <alignment horizontal="center" vertical="center" wrapText="1"/>
    </xf>
    <xf numFmtId="1" fontId="31" fillId="0" borderId="49" xfId="1" applyNumberFormat="1" applyFont="1" applyBorder="1" applyAlignment="1">
      <alignment horizontal="center" vertical="center" wrapText="1"/>
    </xf>
    <xf numFmtId="1" fontId="31" fillId="0" borderId="10" xfId="1" applyNumberFormat="1" applyFont="1" applyBorder="1" applyAlignment="1">
      <alignment horizontal="center" vertical="center" wrapText="1"/>
    </xf>
    <xf numFmtId="1" fontId="75" fillId="0" borderId="11" xfId="0" applyNumberFormat="1" applyFont="1" applyBorder="1" applyAlignment="1">
      <alignment horizontal="center" vertical="center" wrapText="1"/>
    </xf>
    <xf numFmtId="1" fontId="75" fillId="0" borderId="49" xfId="0" applyNumberFormat="1" applyFont="1" applyBorder="1" applyAlignment="1">
      <alignment horizontal="center" vertical="center" wrapText="1"/>
    </xf>
    <xf numFmtId="1" fontId="75" fillId="0" borderId="10" xfId="0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67" fillId="0" borderId="0" xfId="0" quotePrefix="1" applyFont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0" fontId="32" fillId="2" borderId="15" xfId="0" quotePrefix="1" applyFont="1" applyFill="1" applyBorder="1" applyAlignment="1">
      <alignment horizontal="center" vertical="center"/>
    </xf>
    <xf numFmtId="0" fontId="32" fillId="2" borderId="13" xfId="0" quotePrefix="1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83" fillId="2" borderId="15" xfId="0" applyFont="1" applyFill="1" applyBorder="1" applyAlignment="1">
      <alignment horizontal="center" vertical="center" wrapText="1"/>
    </xf>
    <xf numFmtId="0" fontId="83" fillId="2" borderId="12" xfId="0" applyFont="1" applyFill="1" applyBorder="1" applyAlignment="1">
      <alignment horizontal="center" vertical="center" wrapText="1"/>
    </xf>
    <xf numFmtId="0" fontId="83" fillId="2" borderId="13" xfId="0" applyFont="1" applyFill="1" applyBorder="1" applyAlignment="1">
      <alignment horizontal="center" vertical="center" wrapText="1"/>
    </xf>
    <xf numFmtId="0" fontId="85" fillId="2" borderId="15" xfId="0" applyFont="1" applyFill="1" applyBorder="1" applyAlignment="1">
      <alignment horizontal="left" vertical="center"/>
    </xf>
    <xf numFmtId="0" fontId="85" fillId="2" borderId="13" xfId="0" applyFont="1" applyFill="1" applyBorder="1" applyAlignment="1">
      <alignment horizontal="left" vertical="center"/>
    </xf>
    <xf numFmtId="0" fontId="84" fillId="19" borderId="14" xfId="0" applyFont="1" applyFill="1" applyBorder="1" applyAlignment="1">
      <alignment horizontal="center" vertical="center"/>
    </xf>
    <xf numFmtId="0" fontId="83" fillId="2" borderId="15" xfId="0" applyFont="1" applyFill="1" applyBorder="1" applyAlignment="1">
      <alignment horizontal="center" vertical="center"/>
    </xf>
    <xf numFmtId="0" fontId="83" fillId="2" borderId="12" xfId="0" applyFont="1" applyFill="1" applyBorder="1" applyAlignment="1">
      <alignment horizontal="center" vertical="center"/>
    </xf>
    <xf numFmtId="0" fontId="83" fillId="2" borderId="13" xfId="0" applyFont="1" applyFill="1" applyBorder="1" applyAlignment="1">
      <alignment horizontal="center" vertical="center"/>
    </xf>
    <xf numFmtId="0" fontId="81" fillId="2" borderId="15" xfId="0" applyFont="1" applyFill="1" applyBorder="1" applyAlignment="1">
      <alignment horizontal="left" vertical="center"/>
    </xf>
    <xf numFmtId="0" fontId="81" fillId="2" borderId="13" xfId="0" applyFont="1" applyFill="1" applyBorder="1" applyAlignment="1">
      <alignment horizontal="left" vertical="center"/>
    </xf>
    <xf numFmtId="14" fontId="84" fillId="19" borderId="14" xfId="0" applyNumberFormat="1" applyFont="1" applyFill="1" applyBorder="1" applyAlignment="1">
      <alignment horizontal="center" vertical="center"/>
    </xf>
    <xf numFmtId="0" fontId="81" fillId="0" borderId="15" xfId="0" applyFont="1" applyBorder="1" applyAlignment="1">
      <alignment horizontal="left" vertical="center" wrapText="1"/>
    </xf>
    <xf numFmtId="0" fontId="81" fillId="0" borderId="13" xfId="0" applyFont="1" applyBorder="1" applyAlignment="1">
      <alignment horizontal="left" vertical="center" wrapText="1"/>
    </xf>
    <xf numFmtId="0" fontId="84" fillId="19" borderId="14" xfId="0" applyFont="1" applyFill="1" applyBorder="1" applyAlignment="1">
      <alignment horizontal="center" vertical="center" wrapText="1"/>
    </xf>
    <xf numFmtId="0" fontId="70" fillId="16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6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33" xfId="1" xr:uid="{00000000-0005-0000-0000-00001A000000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4" xfId="63" xr:uid="{F702DAB7-714F-425D-9CF5-1A746302C51A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7 2" xfId="64" xr:uid="{3F8559E5-9581-4CE2-9714-A81127847791}"/>
    <cellStyle name="Normal 8 2" xfId="62" xr:uid="{00000000-0005-0000-0000-000028000000}"/>
    <cellStyle name="Normal 9" xfId="61" xr:uid="{00000000-0005-0000-0000-000029000000}"/>
    <cellStyle name="Percent [2]" xfId="37" xr:uid="{00000000-0005-0000-0000-00002B000000}"/>
    <cellStyle name="Percent 2" xfId="38" xr:uid="{00000000-0005-0000-0000-00002C000000}"/>
    <cellStyle name="Percent 2 2" xfId="39" xr:uid="{00000000-0005-0000-0000-00002D000000}"/>
    <cellStyle name="Percent 2 3" xfId="40" xr:uid="{00000000-0005-0000-0000-00002E000000}"/>
    <cellStyle name="Percent 3" xfId="41" xr:uid="{00000000-0005-0000-0000-00002F000000}"/>
    <cellStyle name="SAPBEXstdData" xfId="42" xr:uid="{00000000-0005-0000-0000-000030000000}"/>
    <cellStyle name="SAPBEXstdItem" xfId="43" xr:uid="{00000000-0005-0000-0000-000031000000}"/>
    <cellStyle name="Style 1" xfId="44" xr:uid="{00000000-0005-0000-0000-000032000000}"/>
    <cellStyle name="Times New Roman" xfId="45" xr:uid="{00000000-0005-0000-0000-000033000000}"/>
    <cellStyle name="Total 2" xfId="46" xr:uid="{00000000-0005-0000-0000-000034000000}"/>
    <cellStyle name="Обычный_Лист1" xfId="47" xr:uid="{00000000-0005-0000-0000-000035000000}"/>
    <cellStyle name="똿뗦먛귟 [0.00]_PRODUCT DETAIL Q1" xfId="48" xr:uid="{00000000-0005-0000-0000-000036000000}"/>
    <cellStyle name="똿뗦먛귟_PRODUCT DETAIL Q1" xfId="49" xr:uid="{00000000-0005-0000-0000-000037000000}"/>
    <cellStyle name="믅됞 [0.00]_PRODUCT DETAIL Q1" xfId="50" xr:uid="{00000000-0005-0000-0000-000038000000}"/>
    <cellStyle name="믅됞_PRODUCT DETAIL Q1" xfId="51" xr:uid="{00000000-0005-0000-0000-000039000000}"/>
    <cellStyle name="백분율_HOBONG" xfId="52" xr:uid="{00000000-0005-0000-0000-00003A000000}"/>
    <cellStyle name="뷭?_BOOKSHIP" xfId="53" xr:uid="{00000000-0005-0000-0000-00003B000000}"/>
    <cellStyle name="콤마 [0]_1202" xfId="54" xr:uid="{00000000-0005-0000-0000-00003C000000}"/>
    <cellStyle name="콤마_1202" xfId="55" xr:uid="{00000000-0005-0000-0000-00003D000000}"/>
    <cellStyle name="통화 [0]_1202" xfId="56" xr:uid="{00000000-0005-0000-0000-00003E000000}"/>
    <cellStyle name="통화_1202" xfId="57" xr:uid="{00000000-0005-0000-0000-00003F000000}"/>
    <cellStyle name="표준_(정보부문)월별인원계획" xfId="58" xr:uid="{00000000-0005-0000-0000-00004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sheetMetadata" Target="metadata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362730</xdr:colOff>
      <xdr:row>4</xdr:row>
      <xdr:rowOff>178095</xdr:rowOff>
    </xdr:from>
    <xdr:to>
      <xdr:col>15</xdr:col>
      <xdr:colOff>1090864</xdr:colOff>
      <xdr:row>7</xdr:row>
      <xdr:rowOff>283908</xdr:rowOff>
    </xdr:to>
    <xdr:pic>
      <xdr:nvPicPr>
        <xdr:cNvPr id="7" name="Picture 6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36151" y="2099806"/>
          <a:ext cx="3585634" cy="2370089"/>
        </a:xfrm>
        <a:prstGeom prst="rect">
          <a:avLst/>
        </a:prstGeom>
      </xdr:spPr>
    </xdr:pic>
    <xdr:clientData/>
  </xdr:twoCellAnchor>
  <xdr:twoCellAnchor editAs="oneCell">
    <xdr:from>
      <xdr:col>3</xdr:col>
      <xdr:colOff>93579</xdr:colOff>
      <xdr:row>243</xdr:row>
      <xdr:rowOff>112294</xdr:rowOff>
    </xdr:from>
    <xdr:to>
      <xdr:col>4</xdr:col>
      <xdr:colOff>1030627</xdr:colOff>
      <xdr:row>243</xdr:row>
      <xdr:rowOff>952499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1079" y="56994926"/>
          <a:ext cx="2505331" cy="840205"/>
        </a:xfrm>
        <a:prstGeom prst="rect">
          <a:avLst/>
        </a:prstGeom>
      </xdr:spPr>
    </xdr:pic>
    <xdr:clientData/>
  </xdr:twoCellAnchor>
  <xdr:twoCellAnchor editAs="oneCell">
    <xdr:from>
      <xdr:col>11</xdr:col>
      <xdr:colOff>7352</xdr:colOff>
      <xdr:row>254</xdr:row>
      <xdr:rowOff>720724</xdr:rowOff>
    </xdr:from>
    <xdr:to>
      <xdr:col>14</xdr:col>
      <xdr:colOff>714375</xdr:colOff>
      <xdr:row>261</xdr:row>
      <xdr:rowOff>1089998</xdr:rowOff>
    </xdr:to>
    <xdr:pic>
      <xdr:nvPicPr>
        <xdr:cNvPr id="13" name="Picture 12" descr="A picture containing text, aircraft, airplane, vector graphics&#10;&#10;Description automatically generated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02852" y="82016599"/>
          <a:ext cx="3945523" cy="5234962"/>
        </a:xfrm>
        <a:prstGeom prst="rect">
          <a:avLst/>
        </a:prstGeom>
      </xdr:spPr>
    </xdr:pic>
    <xdr:clientData/>
  </xdr:twoCellAnchor>
  <xdr:twoCellAnchor editAs="oneCell">
    <xdr:from>
      <xdr:col>10</xdr:col>
      <xdr:colOff>473912</xdr:colOff>
      <xdr:row>230</xdr:row>
      <xdr:rowOff>260684</xdr:rowOff>
    </xdr:from>
    <xdr:to>
      <xdr:col>15</xdr:col>
      <xdr:colOff>1012741</xdr:colOff>
      <xdr:row>236</xdr:row>
      <xdr:rowOff>696662</xdr:rowOff>
    </xdr:to>
    <xdr:pic>
      <xdr:nvPicPr>
        <xdr:cNvPr id="14" name="Picture 13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8512" y="68535884"/>
          <a:ext cx="6050629" cy="4020553"/>
        </a:xfrm>
        <a:prstGeom prst="rect">
          <a:avLst/>
        </a:prstGeom>
      </xdr:spPr>
    </xdr:pic>
    <xdr:clientData/>
  </xdr:twoCellAnchor>
  <xdr:twoCellAnchor editAs="oneCell">
    <xdr:from>
      <xdr:col>10</xdr:col>
      <xdr:colOff>393700</xdr:colOff>
      <xdr:row>248</xdr:row>
      <xdr:rowOff>12700</xdr:rowOff>
    </xdr:from>
    <xdr:to>
      <xdr:col>15</xdr:col>
      <xdr:colOff>932529</xdr:colOff>
      <xdr:row>254</xdr:row>
      <xdr:rowOff>423278</xdr:rowOff>
    </xdr:to>
    <xdr:pic>
      <xdr:nvPicPr>
        <xdr:cNvPr id="6" name="Picture 5" descr="Diagram&#10;&#10;Description automatically generated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55700" y="77419200"/>
          <a:ext cx="6047454" cy="40777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104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F75AAE07-2115-4E1A-A839-12F323EE64B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630150" y="25819676"/>
          <a:ext cx="676275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69850</xdr:rowOff>
    </xdr:from>
    <xdr:ext cx="2502429" cy="1803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69850"/>
          <a:ext cx="2502429" cy="18034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92.168.1.254\data%20viking\PHONG@\LinhLEAN\422004(1).SO%20DO%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Thang Mo"/>
      <sheetName val="CT  PL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22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dz35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B"/>
      <sheetName val="TK"/>
      <sheetName val="HS"/>
      <sheetName val="Q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"/>
      <sheetName val="QT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O108"/>
  <sheetViews>
    <sheetView tabSelected="1" view="pageBreakPreview" zoomScale="40" zoomScaleNormal="55" zoomScaleSheetLayoutView="40" zoomScalePageLayoutView="40" workbookViewId="0">
      <selection activeCell="B13" sqref="B13:F13"/>
    </sheetView>
  </sheetViews>
  <sheetFormatPr defaultColWidth="9.26953125" defaultRowHeight="16.5"/>
  <cols>
    <col min="1" max="1" width="8.453125" style="72" customWidth="1"/>
    <col min="2" max="2" width="24.54296875" style="72" customWidth="1"/>
    <col min="3" max="3" width="26" style="72" customWidth="1"/>
    <col min="4" max="4" width="23.453125" style="72" customWidth="1"/>
    <col min="5" max="5" width="21.453125" style="72" customWidth="1"/>
    <col min="6" max="6" width="26.1796875" style="72" customWidth="1"/>
    <col min="7" max="7" width="17.7265625" style="73" customWidth="1"/>
    <col min="8" max="8" width="17.26953125" style="72" bestFit="1" customWidth="1"/>
    <col min="9" max="9" width="18.54296875" style="72" customWidth="1"/>
    <col min="10" max="10" width="19.1796875" style="72" customWidth="1"/>
    <col min="11" max="11" width="19" style="72" customWidth="1"/>
    <col min="12" max="12" width="18.7265625" style="72" customWidth="1"/>
    <col min="13" max="13" width="14.26953125" style="72" customWidth="1"/>
    <col min="14" max="15" width="13.453125" style="72" customWidth="1"/>
    <col min="16" max="16" width="23.26953125" style="72" bestFit="1" customWidth="1"/>
    <col min="17" max="24" width="21.54296875" style="72" customWidth="1"/>
    <col min="25" max="16384" width="9.26953125" style="72"/>
  </cols>
  <sheetData>
    <row r="1" spans="1:41" s="4" customFormat="1" ht="23.65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53" t="s">
        <v>106</v>
      </c>
      <c r="N1" s="353" t="s">
        <v>106</v>
      </c>
      <c r="O1" s="354" t="s">
        <v>107</v>
      </c>
      <c r="P1" s="354"/>
    </row>
    <row r="2" spans="1:41" s="4" customFormat="1" ht="23.6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53" t="s">
        <v>108</v>
      </c>
      <c r="N2" s="353" t="s">
        <v>108</v>
      </c>
      <c r="O2" s="355" t="s">
        <v>109</v>
      </c>
      <c r="P2" s="355"/>
    </row>
    <row r="3" spans="1:41" s="4" customFormat="1" ht="23.6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53" t="s">
        <v>110</v>
      </c>
      <c r="N3" s="353" t="s">
        <v>110</v>
      </c>
      <c r="O3" s="356" t="s">
        <v>112</v>
      </c>
      <c r="P3" s="354"/>
    </row>
    <row r="4" spans="1:41" s="5" customFormat="1" ht="42" customHeight="1" thickBot="1">
      <c r="B4" s="6" t="s">
        <v>398</v>
      </c>
      <c r="G4" s="7"/>
    </row>
    <row r="5" spans="1:41" s="5" customFormat="1" ht="32.15" customHeight="1">
      <c r="B5" s="8" t="s">
        <v>0</v>
      </c>
      <c r="C5" s="8"/>
      <c r="D5" s="6"/>
      <c r="F5" s="9"/>
      <c r="G5" s="357" t="s">
        <v>404</v>
      </c>
      <c r="H5" s="358"/>
      <c r="I5" s="358"/>
      <c r="J5" s="358"/>
      <c r="K5" s="358"/>
      <c r="L5" s="359"/>
    </row>
    <row r="6" spans="1:41" s="10" customFormat="1" ht="32.15" customHeight="1">
      <c r="B6" s="11" t="s">
        <v>41</v>
      </c>
      <c r="C6" s="11"/>
      <c r="D6" s="12" t="s">
        <v>399</v>
      </c>
      <c r="E6" s="141"/>
      <c r="F6" s="11"/>
      <c r="G6" s="360"/>
      <c r="H6" s="361"/>
      <c r="I6" s="361"/>
      <c r="J6" s="361"/>
      <c r="K6" s="361"/>
      <c r="L6" s="362"/>
      <c r="M6" s="13"/>
      <c r="N6" s="13"/>
      <c r="O6" s="13"/>
      <c r="P6" s="13"/>
    </row>
    <row r="7" spans="1:41" s="10" customFormat="1" ht="32.15" customHeight="1">
      <c r="B7" s="11" t="s">
        <v>42</v>
      </c>
      <c r="C7" s="11"/>
      <c r="D7" s="12" t="s">
        <v>409</v>
      </c>
      <c r="E7" s="12"/>
      <c r="F7" s="11"/>
      <c r="G7" s="360"/>
      <c r="H7" s="361"/>
      <c r="I7" s="361"/>
      <c r="J7" s="361"/>
      <c r="K7" s="361"/>
      <c r="L7" s="362"/>
      <c r="M7" s="13"/>
      <c r="N7" s="13"/>
      <c r="O7" s="13"/>
      <c r="P7" s="13"/>
    </row>
    <row r="8" spans="1:41" s="10" customFormat="1" ht="32.15" customHeight="1" thickBot="1">
      <c r="B8" s="11" t="s">
        <v>43</v>
      </c>
      <c r="C8" s="11"/>
      <c r="D8" s="184"/>
      <c r="E8" s="150"/>
      <c r="F8" s="150"/>
      <c r="G8" s="363"/>
      <c r="H8" s="364"/>
      <c r="I8" s="364"/>
      <c r="J8" s="364"/>
      <c r="K8" s="364"/>
      <c r="L8" s="365"/>
      <c r="M8" s="13"/>
      <c r="N8" s="13"/>
      <c r="O8" s="13"/>
      <c r="P8" s="13"/>
    </row>
    <row r="9" spans="1:41" s="14" customFormat="1" ht="32.15" customHeight="1">
      <c r="B9" s="15" t="s">
        <v>1</v>
      </c>
      <c r="C9" s="15"/>
      <c r="D9" s="310" t="s">
        <v>400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32.5">
      <c r="B10" s="19" t="s">
        <v>2</v>
      </c>
      <c r="C10" s="19"/>
      <c r="D10" s="20" t="s">
        <v>221</v>
      </c>
      <c r="E10" s="20"/>
      <c r="F10" s="20"/>
      <c r="G10" s="21"/>
      <c r="H10" s="20"/>
      <c r="I10" s="22"/>
      <c r="J10" s="22" t="s">
        <v>44</v>
      </c>
      <c r="K10" s="22"/>
      <c r="L10" s="314" t="s">
        <v>195</v>
      </c>
      <c r="M10" s="23"/>
      <c r="N10" s="23"/>
      <c r="O10" s="23"/>
      <c r="P10" s="23"/>
    </row>
    <row r="11" spans="1:41" s="14" customFormat="1" ht="62.15" customHeight="1">
      <c r="B11" s="22" t="s">
        <v>3</v>
      </c>
      <c r="C11" s="22"/>
      <c r="D11" s="151">
        <v>45540</v>
      </c>
      <c r="E11" s="152"/>
      <c r="F11" s="152"/>
      <c r="G11" s="24"/>
      <c r="H11" s="25"/>
      <c r="I11" s="22"/>
      <c r="J11" s="22" t="s">
        <v>4</v>
      </c>
      <c r="K11" s="22"/>
      <c r="L11" s="366" t="s">
        <v>406</v>
      </c>
      <c r="M11" s="366"/>
      <c r="N11" s="366"/>
      <c r="O11" s="366"/>
      <c r="P11" s="366"/>
    </row>
    <row r="12" spans="1:41" s="14" customFormat="1" ht="32.5">
      <c r="B12" s="22" t="s">
        <v>5</v>
      </c>
      <c r="C12" s="22"/>
      <c r="D12" s="26">
        <v>45546</v>
      </c>
      <c r="E12" s="22"/>
      <c r="F12" s="22"/>
      <c r="G12" s="27"/>
      <c r="H12" s="28"/>
      <c r="I12" s="22"/>
      <c r="J12" s="210" t="s">
        <v>39</v>
      </c>
      <c r="L12" s="22" t="s">
        <v>216</v>
      </c>
      <c r="M12" s="22"/>
      <c r="N12" s="28"/>
      <c r="O12" s="28"/>
      <c r="P12" s="23"/>
      <c r="S12" s="197"/>
    </row>
    <row r="13" spans="1:41" s="14" customFormat="1" ht="32.5">
      <c r="B13" s="367"/>
      <c r="C13" s="367"/>
      <c r="D13" s="367"/>
      <c r="E13" s="367"/>
      <c r="F13" s="367"/>
      <c r="G13" s="27"/>
      <c r="H13" s="28"/>
      <c r="I13" s="22"/>
      <c r="J13" s="22" t="s">
        <v>6</v>
      </c>
      <c r="K13" s="22"/>
      <c r="L13" s="22" t="s">
        <v>407</v>
      </c>
      <c r="M13" s="28"/>
      <c r="N13" s="23"/>
      <c r="O13" s="23"/>
      <c r="P13" s="28"/>
      <c r="S13" s="197"/>
      <c r="T13" s="198"/>
    </row>
    <row r="14" spans="1:41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313" t="s">
        <v>408</v>
      </c>
      <c r="M14" s="23"/>
      <c r="N14" s="23"/>
      <c r="O14" s="23"/>
      <c r="P14" s="23"/>
      <c r="S14" s="197"/>
      <c r="T14" s="198"/>
    </row>
    <row r="15" spans="1:41" s="14" customFormat="1" ht="27.5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1:41" s="5" customFormat="1" ht="32.15" customHeight="1">
      <c r="B17" s="34"/>
      <c r="C17" s="133" t="s">
        <v>105</v>
      </c>
      <c r="D17" s="133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 t="s">
        <v>230</v>
      </c>
      <c r="N17" s="35"/>
      <c r="O17" s="35"/>
      <c r="P17" s="135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1:41" s="5" customFormat="1" ht="93.65" hidden="1" customHeight="1">
      <c r="B18" s="34"/>
      <c r="C18" s="133"/>
      <c r="D18" s="35"/>
      <c r="E18" s="35" t="s">
        <v>207</v>
      </c>
      <c r="F18" s="35"/>
      <c r="G18" s="238" t="s">
        <v>208</v>
      </c>
      <c r="H18" s="238" t="s">
        <v>209</v>
      </c>
      <c r="I18" s="238" t="s">
        <v>210</v>
      </c>
      <c r="J18" s="238" t="s">
        <v>211</v>
      </c>
      <c r="K18" s="238" t="s">
        <v>212</v>
      </c>
      <c r="L18" s="238" t="s">
        <v>213</v>
      </c>
      <c r="M18" s="35"/>
      <c r="N18" s="35"/>
      <c r="O18" s="35"/>
      <c r="P18" s="135"/>
      <c r="R18" s="14"/>
      <c r="S18" s="197"/>
      <c r="T18" s="198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1:41" s="5" customFormat="1" ht="33" customHeight="1">
      <c r="B19" s="134" t="s">
        <v>12</v>
      </c>
      <c r="C19" s="36"/>
      <c r="D19" s="37" t="s">
        <v>225</v>
      </c>
      <c r="E19" s="38"/>
      <c r="F19" s="39"/>
      <c r="G19" s="39"/>
      <c r="H19" s="39"/>
      <c r="I19" s="39"/>
      <c r="J19" s="39"/>
      <c r="K19" s="39">
        <v>3</v>
      </c>
      <c r="L19" s="39"/>
      <c r="M19" s="39"/>
      <c r="N19" s="39"/>
      <c r="O19" s="39"/>
      <c r="P19" s="40">
        <f>SUM(G19:O19)</f>
        <v>3</v>
      </c>
      <c r="Q19" s="226"/>
      <c r="R19" s="226"/>
      <c r="S19" s="226"/>
      <c r="T19" s="226"/>
      <c r="U19" s="226"/>
      <c r="V19" s="226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1:41" s="5" customFormat="1" ht="33" customHeight="1">
      <c r="B20" s="134" t="s">
        <v>61</v>
      </c>
      <c r="C20" s="36"/>
      <c r="D20" s="38" t="str">
        <f>D19</f>
        <v>BLACK</v>
      </c>
      <c r="E20" s="38"/>
      <c r="F20" s="39"/>
      <c r="G20" s="39"/>
      <c r="H20" s="39"/>
      <c r="I20" s="39"/>
      <c r="J20" s="39"/>
      <c r="K20" s="39">
        <v>2</v>
      </c>
      <c r="L20" s="39"/>
      <c r="M20" s="39"/>
      <c r="N20" s="39"/>
      <c r="O20" s="39"/>
      <c r="P20" s="40">
        <f>SUM(G20:O20)</f>
        <v>2</v>
      </c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s="6" customFormat="1" ht="33" customHeight="1">
      <c r="B21" s="137" t="s">
        <v>13</v>
      </c>
      <c r="C21" s="137"/>
      <c r="D21" s="140" t="str">
        <f>D20</f>
        <v>BLACK</v>
      </c>
      <c r="E21" s="138"/>
      <c r="F21" s="139"/>
      <c r="G21" s="139"/>
      <c r="H21" s="139"/>
      <c r="I21" s="139"/>
      <c r="J21" s="139"/>
      <c r="K21" s="139">
        <f t="shared" ref="K21" si="0">SUM(K19:K20)</f>
        <v>5</v>
      </c>
      <c r="L21" s="139"/>
      <c r="M21" s="139"/>
      <c r="N21" s="139"/>
      <c r="O21" s="139"/>
      <c r="P21" s="139">
        <f t="shared" ref="P21" si="1">SUM(P19:P20)</f>
        <v>5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1:41" s="5" customFormat="1" ht="33" customHeight="1">
      <c r="B22" s="12"/>
      <c r="C22" s="12"/>
      <c r="D22" s="12"/>
      <c r="E22" s="41"/>
      <c r="F22" s="41"/>
      <c r="G22" s="199"/>
      <c r="H22" s="200"/>
      <c r="I22" s="200"/>
      <c r="J22" s="200"/>
      <c r="K22" s="200"/>
      <c r="L22" s="200"/>
      <c r="M22" s="201"/>
      <c r="N22" s="34"/>
      <c r="O22" s="34"/>
      <c r="P22" s="202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1:41" s="5" customFormat="1" ht="32.15" customHeight="1">
      <c r="B23" s="307"/>
      <c r="C23" s="308" t="s">
        <v>105</v>
      </c>
      <c r="D23" s="308" t="s">
        <v>9</v>
      </c>
      <c r="E23" s="35" t="s">
        <v>54</v>
      </c>
      <c r="F23" s="35"/>
      <c r="G23" s="35" t="s">
        <v>65</v>
      </c>
      <c r="H23" s="35" t="s">
        <v>58</v>
      </c>
      <c r="I23" s="35" t="s">
        <v>10</v>
      </c>
      <c r="J23" s="35" t="s">
        <v>55</v>
      </c>
      <c r="K23" s="35" t="s">
        <v>56</v>
      </c>
      <c r="L23" s="35" t="s">
        <v>57</v>
      </c>
      <c r="M23" s="35" t="s">
        <v>230</v>
      </c>
      <c r="N23" s="35"/>
      <c r="O23" s="35"/>
      <c r="P23" s="135" t="s">
        <v>11</v>
      </c>
      <c r="R23" s="14"/>
      <c r="S23" s="197"/>
      <c r="T23" s="198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1:41" s="5" customFormat="1" ht="93.65" hidden="1" customHeight="1">
      <c r="B24" s="307"/>
      <c r="C24" s="308"/>
      <c r="D24" s="35"/>
      <c r="E24" s="35" t="s">
        <v>207</v>
      </c>
      <c r="F24" s="35"/>
      <c r="G24" s="238" t="s">
        <v>208</v>
      </c>
      <c r="H24" s="238" t="s">
        <v>209</v>
      </c>
      <c r="I24" s="238" t="s">
        <v>210</v>
      </c>
      <c r="J24" s="238" t="s">
        <v>211</v>
      </c>
      <c r="K24" s="238" t="s">
        <v>212</v>
      </c>
      <c r="L24" s="238" t="s">
        <v>213</v>
      </c>
      <c r="M24" s="35"/>
      <c r="N24" s="35"/>
      <c r="O24" s="35"/>
      <c r="P24" s="135"/>
      <c r="R24" s="14"/>
      <c r="S24" s="197"/>
      <c r="T24" s="198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1:41" s="5" customFormat="1" ht="33" customHeight="1">
      <c r="B25" s="309" t="s">
        <v>12</v>
      </c>
      <c r="C25" s="309"/>
      <c r="D25" s="37" t="s">
        <v>38</v>
      </c>
      <c r="E25" s="38"/>
      <c r="F25" s="39"/>
      <c r="G25" s="39"/>
      <c r="H25" s="39"/>
      <c r="I25" s="39"/>
      <c r="J25" s="39"/>
      <c r="K25" s="39">
        <v>3</v>
      </c>
      <c r="L25" s="39"/>
      <c r="M25" s="39"/>
      <c r="N25" s="39"/>
      <c r="O25" s="39"/>
      <c r="P25" s="40">
        <f>SUM(G25:O25)</f>
        <v>3</v>
      </c>
      <c r="Q25" s="226"/>
      <c r="R25" s="226"/>
      <c r="S25" s="226"/>
      <c r="T25" s="226"/>
      <c r="U25" s="226"/>
      <c r="V25" s="226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</row>
    <row r="26" spans="1:41" s="5" customFormat="1" ht="33" customHeight="1">
      <c r="B26" s="309" t="s">
        <v>61</v>
      </c>
      <c r="C26" s="309"/>
      <c r="D26" s="38" t="str">
        <f>D25</f>
        <v>WHITE</v>
      </c>
      <c r="E26" s="38"/>
      <c r="F26" s="39"/>
      <c r="G26" s="39"/>
      <c r="H26" s="39"/>
      <c r="I26" s="39"/>
      <c r="J26" s="39"/>
      <c r="K26" s="39">
        <v>2</v>
      </c>
      <c r="L26" s="39"/>
      <c r="M26" s="39"/>
      <c r="N26" s="39"/>
      <c r="O26" s="39"/>
      <c r="P26" s="40">
        <f>SUM(G26:O26)</f>
        <v>2</v>
      </c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1:41" s="6" customFormat="1" ht="33" customHeight="1">
      <c r="B27" s="137" t="s">
        <v>13</v>
      </c>
      <c r="C27" s="137"/>
      <c r="D27" s="140" t="str">
        <f>D26</f>
        <v>WHITE</v>
      </c>
      <c r="E27" s="138"/>
      <c r="F27" s="139"/>
      <c r="G27" s="139"/>
      <c r="H27" s="139"/>
      <c r="I27" s="139"/>
      <c r="J27" s="139"/>
      <c r="K27" s="139">
        <f t="shared" ref="K27" si="2">SUM(K25:K26)</f>
        <v>5</v>
      </c>
      <c r="L27" s="139"/>
      <c r="M27" s="139"/>
      <c r="N27" s="139"/>
      <c r="O27" s="139"/>
      <c r="P27" s="139">
        <f t="shared" ref="P27" si="3">SUM(P25:P26)</f>
        <v>5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</row>
    <row r="28" spans="1:41" s="5" customFormat="1" ht="33" customHeight="1">
      <c r="B28" s="12"/>
      <c r="C28" s="12"/>
      <c r="D28" s="12"/>
      <c r="E28" s="41"/>
      <c r="F28" s="41"/>
      <c r="G28" s="199"/>
      <c r="H28" s="200"/>
      <c r="I28" s="200"/>
      <c r="J28" s="200"/>
      <c r="K28" s="200"/>
      <c r="L28" s="200"/>
      <c r="M28" s="201"/>
      <c r="N28" s="34"/>
      <c r="O28" s="34"/>
      <c r="P28" s="202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1:41" s="42" customFormat="1" ht="33" customHeight="1">
      <c r="B29" s="125" t="s">
        <v>14</v>
      </c>
      <c r="C29" s="126"/>
      <c r="D29" s="125"/>
      <c r="E29" s="127"/>
      <c r="F29" s="128"/>
      <c r="G29" s="128"/>
      <c r="H29" s="128"/>
      <c r="I29" s="128"/>
      <c r="J29" s="128"/>
      <c r="K29" s="128">
        <f>+K21+K27</f>
        <v>10</v>
      </c>
      <c r="L29" s="128"/>
      <c r="M29" s="128"/>
      <c r="N29" s="128"/>
      <c r="O29" s="128"/>
      <c r="P29" s="128">
        <f>SUM(G29:O29)</f>
        <v>10</v>
      </c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</row>
    <row r="30" spans="1:41" s="43" customFormat="1" ht="20.25" customHeight="1">
      <c r="B30" s="44"/>
      <c r="C30" s="44"/>
      <c r="D30" s="45"/>
      <c r="E30" s="46"/>
      <c r="F30" s="47"/>
      <c r="G30" s="48"/>
      <c r="H30" s="49"/>
      <c r="I30" s="49"/>
      <c r="J30" s="49"/>
      <c r="K30" s="49"/>
      <c r="L30" s="50"/>
      <c r="M30" s="51"/>
      <c r="N30" s="47"/>
      <c r="O30" s="47"/>
      <c r="P30" s="4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1:41" s="4" customFormat="1" ht="40.5" customHeight="1" thickBot="1">
      <c r="B31" s="305" t="s">
        <v>15</v>
      </c>
      <c r="C31" s="52"/>
      <c r="D31" s="52"/>
      <c r="E31" s="52"/>
      <c r="F31" s="53"/>
      <c r="G31" s="54"/>
      <c r="H31" s="53"/>
      <c r="I31" s="53"/>
      <c r="J31" s="53"/>
      <c r="K31" s="53"/>
      <c r="L31" s="53"/>
      <c r="N31" s="55"/>
      <c r="O31" s="55"/>
      <c r="P31" s="56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1:41" s="57" customFormat="1" ht="120" customHeight="1" thickBot="1">
      <c r="A32" s="368" t="s">
        <v>16</v>
      </c>
      <c r="B32" s="369"/>
      <c r="C32" s="369"/>
      <c r="D32" s="119" t="s">
        <v>17</v>
      </c>
      <c r="E32" s="120" t="s">
        <v>18</v>
      </c>
      <c r="F32" s="119" t="s">
        <v>19</v>
      </c>
      <c r="G32" s="121" t="s">
        <v>20</v>
      </c>
      <c r="H32" s="121" t="s">
        <v>21</v>
      </c>
      <c r="I32" s="121" t="s">
        <v>34</v>
      </c>
      <c r="J32" s="121" t="s">
        <v>35</v>
      </c>
      <c r="K32" s="121" t="s">
        <v>37</v>
      </c>
      <c r="L32" s="121" t="s">
        <v>36</v>
      </c>
      <c r="M32" s="370" t="s">
        <v>50</v>
      </c>
      <c r="N32" s="371"/>
      <c r="O32" s="371"/>
      <c r="P32" s="372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</row>
    <row r="33" spans="1:16" s="14" customFormat="1" ht="46.15" customHeight="1">
      <c r="A33" s="315" t="str">
        <f>D19</f>
        <v>BLACK</v>
      </c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7"/>
    </row>
    <row r="34" spans="1:16" s="14" customFormat="1" ht="136.5" customHeight="1">
      <c r="A34" s="194">
        <v>1</v>
      </c>
      <c r="B34" s="318" t="str">
        <f>L11</f>
        <v>HEAVY JERSEY SOLID 100% COTTON CM 20'S/2 WITH ENZYME CUT, 300-310GSM</v>
      </c>
      <c r="C34" s="318"/>
      <c r="D34" s="142" t="s">
        <v>223</v>
      </c>
      <c r="E34" s="142" t="str">
        <f>A33</f>
        <v>BLACK</v>
      </c>
      <c r="F34" s="157" t="s">
        <v>10</v>
      </c>
      <c r="G34" s="173">
        <f>P21</f>
        <v>5</v>
      </c>
      <c r="H34" s="174">
        <v>1.02</v>
      </c>
      <c r="I34" s="175">
        <f>G34*H34</f>
        <v>5.0999999999999996</v>
      </c>
      <c r="J34" s="175">
        <f>I34*3.1%+(I34/40)*0.5</f>
        <v>0.22184999999999999</v>
      </c>
      <c r="K34" s="173">
        <v>0</v>
      </c>
      <c r="L34" s="195">
        <f>ROUNDUP(SUM(I34:K34),0)</f>
        <v>6</v>
      </c>
      <c r="M34" s="319" t="s">
        <v>402</v>
      </c>
      <c r="N34" s="320"/>
      <c r="O34" s="320"/>
      <c r="P34" s="320"/>
    </row>
    <row r="35" spans="1:16" s="14" customFormat="1" ht="114" customHeight="1" thickBot="1">
      <c r="A35" s="194">
        <v>3</v>
      </c>
      <c r="B35" s="318" t="s">
        <v>401</v>
      </c>
      <c r="C35" s="318"/>
      <c r="D35" s="142" t="s">
        <v>222</v>
      </c>
      <c r="E35" s="142" t="str">
        <f>E34</f>
        <v>BLACK</v>
      </c>
      <c r="F35" s="157" t="s">
        <v>10</v>
      </c>
      <c r="G35" s="173">
        <f>G34</f>
        <v>5</v>
      </c>
      <c r="H35" s="174">
        <v>0.1</v>
      </c>
      <c r="I35" s="175">
        <f>G35*H35</f>
        <v>0.5</v>
      </c>
      <c r="J35" s="175">
        <f>I35*5%+(I35/20)*0.5</f>
        <v>3.7500000000000006E-2</v>
      </c>
      <c r="K35" s="173">
        <v>0</v>
      </c>
      <c r="L35" s="195">
        <f>ROUNDUP(SUM(I35:K35),0)</f>
        <v>1</v>
      </c>
      <c r="M35" s="319" t="s">
        <v>402</v>
      </c>
      <c r="N35" s="320"/>
      <c r="O35" s="320"/>
      <c r="P35" s="320"/>
    </row>
    <row r="36" spans="1:16" s="14" customFormat="1" ht="46.15" customHeight="1">
      <c r="A36" s="315" t="s">
        <v>38</v>
      </c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7"/>
    </row>
    <row r="37" spans="1:16" s="14" customFormat="1" ht="156.5" customHeight="1">
      <c r="A37" s="194">
        <v>1</v>
      </c>
      <c r="B37" s="318" t="str">
        <f>+L11</f>
        <v>HEAVY JERSEY SOLID 100% COTTON CM 20'S/2 WITH ENZYME CUT, 300-310GSM</v>
      </c>
      <c r="C37" s="318"/>
      <c r="D37" s="142" t="s">
        <v>223</v>
      </c>
      <c r="E37" s="142" t="str">
        <f>A36</f>
        <v>WHITE</v>
      </c>
      <c r="F37" s="157" t="s">
        <v>10</v>
      </c>
      <c r="G37" s="173">
        <f>+P27</f>
        <v>5</v>
      </c>
      <c r="H37" s="174">
        <v>1.02</v>
      </c>
      <c r="I37" s="175">
        <f>G37*H37</f>
        <v>5.0999999999999996</v>
      </c>
      <c r="J37" s="175">
        <f>I37*3.1%+(I37/40)*0.5</f>
        <v>0.22184999999999999</v>
      </c>
      <c r="K37" s="173">
        <v>0</v>
      </c>
      <c r="L37" s="195">
        <f>ROUNDUP(SUM(I37:K37),0)</f>
        <v>6</v>
      </c>
      <c r="M37" s="319" t="s">
        <v>402</v>
      </c>
      <c r="N37" s="320"/>
      <c r="O37" s="320"/>
      <c r="P37" s="320"/>
    </row>
    <row r="38" spans="1:16" s="14" customFormat="1" ht="114" customHeight="1">
      <c r="A38" s="194">
        <v>3</v>
      </c>
      <c r="B38" s="318" t="s">
        <v>401</v>
      </c>
      <c r="C38" s="318"/>
      <c r="D38" s="142" t="s">
        <v>222</v>
      </c>
      <c r="E38" s="142" t="str">
        <f>E37</f>
        <v>WHITE</v>
      </c>
      <c r="F38" s="157" t="s">
        <v>10</v>
      </c>
      <c r="G38" s="173">
        <f>+P27</f>
        <v>5</v>
      </c>
      <c r="H38" s="174">
        <v>0.1</v>
      </c>
      <c r="I38" s="175">
        <f>G38*H38</f>
        <v>0.5</v>
      </c>
      <c r="J38" s="175">
        <f>I38*5%+(I38/20)*0.5</f>
        <v>3.7500000000000006E-2</v>
      </c>
      <c r="K38" s="173">
        <v>0</v>
      </c>
      <c r="L38" s="195">
        <f>ROUNDUP(SUM(I38:K38),0)</f>
        <v>1</v>
      </c>
      <c r="M38" s="319" t="s">
        <v>402</v>
      </c>
      <c r="N38" s="320"/>
      <c r="O38" s="320"/>
      <c r="P38" s="320"/>
    </row>
    <row r="39" spans="1:16" s="60" customFormat="1" ht="49.5" customHeight="1" thickBot="1">
      <c r="B39" s="305" t="s">
        <v>22</v>
      </c>
      <c r="C39" s="61"/>
      <c r="D39" s="61"/>
      <c r="E39" s="61"/>
      <c r="G39" s="304">
        <f>+P27</f>
        <v>5</v>
      </c>
      <c r="P39" s="63"/>
    </row>
    <row r="40" spans="1:16" s="74" customFormat="1" ht="77.650000000000006" customHeight="1">
      <c r="A40" s="348" t="s">
        <v>23</v>
      </c>
      <c r="B40" s="349"/>
      <c r="C40" s="349"/>
      <c r="D40" s="349"/>
      <c r="E40" s="350"/>
      <c r="F40" s="122" t="s">
        <v>45</v>
      </c>
      <c r="G40" s="122" t="s">
        <v>24</v>
      </c>
      <c r="H40" s="351" t="s">
        <v>40</v>
      </c>
      <c r="I40" s="352"/>
      <c r="J40" s="123" t="s">
        <v>19</v>
      </c>
      <c r="K40" s="122" t="s">
        <v>46</v>
      </c>
      <c r="L40" s="122" t="s">
        <v>25</v>
      </c>
      <c r="M40" s="124" t="s">
        <v>26</v>
      </c>
      <c r="N40" s="124" t="s">
        <v>27</v>
      </c>
      <c r="O40" s="124" t="s">
        <v>28</v>
      </c>
      <c r="P40" s="124" t="s">
        <v>29</v>
      </c>
    </row>
    <row r="41" spans="1:16" s="67" customFormat="1" ht="87.75" customHeight="1">
      <c r="A41" s="142">
        <v>1</v>
      </c>
      <c r="B41" s="323" t="s">
        <v>215</v>
      </c>
      <c r="C41" s="347"/>
      <c r="D41" s="347"/>
      <c r="E41" s="324"/>
      <c r="F41" s="220" t="str">
        <f>$A$33</f>
        <v>BLACK</v>
      </c>
      <c r="G41" s="214"/>
      <c r="H41" s="345" t="str">
        <f>$A$33</f>
        <v>BLACK</v>
      </c>
      <c r="I41" s="346"/>
      <c r="J41" s="157" t="s">
        <v>30</v>
      </c>
      <c r="K41" s="157">
        <f>+P21</f>
        <v>5</v>
      </c>
      <c r="L41" s="153">
        <f>135/4500</f>
        <v>0.03</v>
      </c>
      <c r="M41" s="154">
        <f t="shared" ref="M41:M43" si="4">K41*L41</f>
        <v>0.15</v>
      </c>
      <c r="N41" s="154"/>
      <c r="O41" s="155">
        <f t="shared" ref="O41" si="5">ROUNDUP(SUM(M41:N41),0)</f>
        <v>1</v>
      </c>
      <c r="P41" s="211"/>
    </row>
    <row r="42" spans="1:16" s="67" customFormat="1" ht="87.75" customHeight="1">
      <c r="A42" s="142">
        <v>1</v>
      </c>
      <c r="B42" s="323" t="s">
        <v>215</v>
      </c>
      <c r="C42" s="347"/>
      <c r="D42" s="347"/>
      <c r="E42" s="324"/>
      <c r="F42" s="220" t="s">
        <v>38</v>
      </c>
      <c r="G42" s="214"/>
      <c r="H42" s="345" t="s">
        <v>38</v>
      </c>
      <c r="I42" s="346"/>
      <c r="J42" s="157" t="s">
        <v>30</v>
      </c>
      <c r="K42" s="157">
        <f>+P27</f>
        <v>5</v>
      </c>
      <c r="L42" s="153">
        <f>135/4500</f>
        <v>0.03</v>
      </c>
      <c r="M42" s="154">
        <f t="shared" ref="M42" si="6">K42*L42</f>
        <v>0.15</v>
      </c>
      <c r="N42" s="154"/>
      <c r="O42" s="155">
        <f t="shared" ref="O42" si="7">ROUNDUP(SUM(M42:N42),0)</f>
        <v>1</v>
      </c>
      <c r="P42" s="211"/>
    </row>
    <row r="43" spans="1:16" s="67" customFormat="1" ht="87.75" customHeight="1">
      <c r="A43" s="142">
        <v>2</v>
      </c>
      <c r="B43" s="323" t="s">
        <v>405</v>
      </c>
      <c r="C43" s="347"/>
      <c r="D43" s="347"/>
      <c r="E43" s="324"/>
      <c r="F43" s="220" t="s">
        <v>217</v>
      </c>
      <c r="G43" s="214"/>
      <c r="H43" s="345" t="str">
        <f>$A$33</f>
        <v>BLACK</v>
      </c>
      <c r="I43" s="346"/>
      <c r="J43" s="157" t="s">
        <v>121</v>
      </c>
      <c r="K43" s="157">
        <f>+P21</f>
        <v>5</v>
      </c>
      <c r="L43" s="153">
        <v>1</v>
      </c>
      <c r="M43" s="229">
        <f t="shared" si="4"/>
        <v>5</v>
      </c>
      <c r="N43" s="154"/>
      <c r="O43" s="155">
        <f t="shared" ref="O43" si="8">SUM(M43:N43)</f>
        <v>5</v>
      </c>
      <c r="P43" s="155"/>
    </row>
    <row r="44" spans="1:16" s="67" customFormat="1" ht="87.75" hidden="1" customHeight="1">
      <c r="A44" s="142">
        <v>3</v>
      </c>
      <c r="B44" s="323" t="s">
        <v>218</v>
      </c>
      <c r="C44" s="347"/>
      <c r="D44" s="347"/>
      <c r="E44" s="324"/>
      <c r="F44" s="220" t="s">
        <v>217</v>
      </c>
      <c r="G44" s="214"/>
      <c r="H44" s="345" t="str">
        <f>$A$33</f>
        <v>BLACK</v>
      </c>
      <c r="I44" s="346"/>
      <c r="J44" s="157" t="s">
        <v>121</v>
      </c>
      <c r="K44" s="157">
        <f t="shared" ref="K44" si="9">$P$21</f>
        <v>5</v>
      </c>
      <c r="L44" s="153">
        <v>1</v>
      </c>
      <c r="M44" s="229">
        <f t="shared" ref="M44" si="10">K44*L44</f>
        <v>5</v>
      </c>
      <c r="N44" s="154"/>
      <c r="O44" s="155">
        <f t="shared" ref="O44" si="11">SUM(M44:N44)</f>
        <v>5</v>
      </c>
      <c r="P44" s="155"/>
    </row>
    <row r="45" spans="1:16" s="58" customFormat="1" ht="20.25" hidden="1" customHeight="1">
      <c r="A45" s="55"/>
      <c r="B45" s="55"/>
      <c r="C45" s="55"/>
      <c r="D45" s="55"/>
      <c r="E45" s="55"/>
      <c r="F45" s="55"/>
      <c r="G45" s="59"/>
      <c r="H45" s="55"/>
      <c r="I45" s="55"/>
      <c r="J45" s="55"/>
      <c r="K45" s="55"/>
      <c r="L45" s="55"/>
      <c r="M45" s="55"/>
      <c r="N45" s="55"/>
      <c r="O45" s="55"/>
      <c r="P45" s="55"/>
    </row>
    <row r="46" spans="1:16" s="60" customFormat="1" ht="33" hidden="1" customHeight="1" thickBot="1">
      <c r="B46" s="136" t="s">
        <v>63</v>
      </c>
      <c r="C46" s="61"/>
      <c r="D46" s="61"/>
      <c r="E46" s="180"/>
      <c r="F46" s="181"/>
      <c r="G46" s="182"/>
      <c r="H46" s="181"/>
      <c r="I46" s="181"/>
      <c r="J46" s="181"/>
      <c r="K46" s="181"/>
      <c r="L46" s="181"/>
      <c r="M46" s="181"/>
      <c r="N46" s="181"/>
      <c r="O46" s="181"/>
      <c r="P46" s="183"/>
    </row>
    <row r="47" spans="1:16" s="74" customFormat="1" ht="96" hidden="1">
      <c r="A47" s="348" t="s">
        <v>23</v>
      </c>
      <c r="B47" s="349"/>
      <c r="C47" s="349"/>
      <c r="D47" s="349"/>
      <c r="E47" s="350"/>
      <c r="F47" s="122" t="s">
        <v>45</v>
      </c>
      <c r="G47" s="122" t="s">
        <v>24</v>
      </c>
      <c r="H47" s="351" t="s">
        <v>40</v>
      </c>
      <c r="I47" s="352"/>
      <c r="J47" s="123" t="s">
        <v>19</v>
      </c>
      <c r="K47" s="122" t="s">
        <v>46</v>
      </c>
      <c r="L47" s="122" t="s">
        <v>25</v>
      </c>
      <c r="M47" s="124" t="s">
        <v>26</v>
      </c>
      <c r="N47" s="124" t="s">
        <v>27</v>
      </c>
      <c r="O47" s="124" t="s">
        <v>28</v>
      </c>
      <c r="P47" s="124" t="s">
        <v>29</v>
      </c>
    </row>
    <row r="48" spans="1:16" s="156" customFormat="1" ht="409.5" hidden="1">
      <c r="A48" s="142">
        <v>1</v>
      </c>
      <c r="B48" s="323" t="s">
        <v>226</v>
      </c>
      <c r="C48" s="347"/>
      <c r="D48" s="347"/>
      <c r="E48" s="324"/>
      <c r="F48" s="234" t="s">
        <v>52</v>
      </c>
      <c r="G48" s="237" t="s">
        <v>227</v>
      </c>
      <c r="H48" s="345" t="str">
        <f t="shared" ref="H48:H54" si="12">$A$33</f>
        <v>BLACK</v>
      </c>
      <c r="I48" s="346"/>
      <c r="J48" s="157" t="s">
        <v>121</v>
      </c>
      <c r="K48" s="157">
        <f t="shared" ref="K48:K54" si="13">$P$21</f>
        <v>5</v>
      </c>
      <c r="L48" s="153">
        <v>1</v>
      </c>
      <c r="M48" s="157">
        <f>K48*L48</f>
        <v>5</v>
      </c>
      <c r="N48" s="154"/>
      <c r="O48" s="155">
        <f>ROUNDUP(SUM(M48:N48),0)</f>
        <v>5</v>
      </c>
      <c r="P48" s="160"/>
    </row>
    <row r="49" spans="1:16" s="156" customFormat="1" ht="79.5" hidden="1" customHeight="1">
      <c r="A49" s="142">
        <v>2</v>
      </c>
      <c r="B49" s="323" t="s">
        <v>130</v>
      </c>
      <c r="C49" s="347"/>
      <c r="D49" s="347"/>
      <c r="E49" s="324"/>
      <c r="F49" s="234" t="s">
        <v>38</v>
      </c>
      <c r="G49" s="214"/>
      <c r="H49" s="345" t="str">
        <f t="shared" si="12"/>
        <v>BLACK</v>
      </c>
      <c r="I49" s="346"/>
      <c r="J49" s="157" t="s">
        <v>121</v>
      </c>
      <c r="K49" s="157">
        <f t="shared" si="13"/>
        <v>5</v>
      </c>
      <c r="L49" s="153">
        <v>1</v>
      </c>
      <c r="M49" s="157">
        <f t="shared" ref="M49:M55" si="14">K49*L49</f>
        <v>5</v>
      </c>
      <c r="N49" s="154"/>
      <c r="O49" s="155">
        <f t="shared" ref="O49:O54" si="15">ROUNDUP(SUM(M49:N49),0)</f>
        <v>5</v>
      </c>
      <c r="P49" s="235" t="s">
        <v>186</v>
      </c>
    </row>
    <row r="50" spans="1:16" s="156" customFormat="1" ht="103.5" hidden="1" customHeight="1">
      <c r="A50" s="142">
        <v>3</v>
      </c>
      <c r="B50" s="323" t="s">
        <v>228</v>
      </c>
      <c r="C50" s="347"/>
      <c r="D50" s="347"/>
      <c r="E50" s="324"/>
      <c r="F50" s="234" t="s">
        <v>38</v>
      </c>
      <c r="G50" s="214"/>
      <c r="H50" s="345" t="str">
        <f t="shared" si="12"/>
        <v>BLACK</v>
      </c>
      <c r="I50" s="346"/>
      <c r="J50" s="157" t="s">
        <v>121</v>
      </c>
      <c r="K50" s="157">
        <f t="shared" si="13"/>
        <v>5</v>
      </c>
      <c r="L50" s="153">
        <v>1</v>
      </c>
      <c r="M50" s="157">
        <f t="shared" si="14"/>
        <v>5</v>
      </c>
      <c r="N50" s="154"/>
      <c r="O50" s="155">
        <f t="shared" si="15"/>
        <v>5</v>
      </c>
      <c r="P50" s="235"/>
    </row>
    <row r="51" spans="1:16" s="156" customFormat="1" ht="79.5" hidden="1" customHeight="1">
      <c r="A51" s="142">
        <v>4</v>
      </c>
      <c r="B51" s="323" t="s">
        <v>229</v>
      </c>
      <c r="C51" s="347"/>
      <c r="D51" s="347"/>
      <c r="E51" s="324"/>
      <c r="F51" s="234" t="s">
        <v>225</v>
      </c>
      <c r="G51" s="233"/>
      <c r="H51" s="345" t="str">
        <f t="shared" si="12"/>
        <v>BLACK</v>
      </c>
      <c r="I51" s="346"/>
      <c r="J51" s="157" t="s">
        <v>121</v>
      </c>
      <c r="K51" s="157">
        <f t="shared" si="13"/>
        <v>5</v>
      </c>
      <c r="L51" s="153">
        <v>1</v>
      </c>
      <c r="M51" s="157">
        <f t="shared" si="14"/>
        <v>5</v>
      </c>
      <c r="N51" s="154"/>
      <c r="O51" s="155">
        <f t="shared" si="15"/>
        <v>5</v>
      </c>
      <c r="P51" s="160"/>
    </row>
    <row r="52" spans="1:16" s="156" customFormat="1" ht="79.5" hidden="1" customHeight="1">
      <c r="A52" s="142">
        <v>5</v>
      </c>
      <c r="B52" s="323" t="s">
        <v>219</v>
      </c>
      <c r="C52" s="347"/>
      <c r="D52" s="347"/>
      <c r="E52" s="324"/>
      <c r="F52" s="234" t="s">
        <v>52</v>
      </c>
      <c r="G52" s="214"/>
      <c r="H52" s="345" t="str">
        <f t="shared" si="12"/>
        <v>BLACK</v>
      </c>
      <c r="I52" s="346"/>
      <c r="J52" s="157" t="s">
        <v>121</v>
      </c>
      <c r="K52" s="157">
        <f t="shared" si="13"/>
        <v>5</v>
      </c>
      <c r="L52" s="153">
        <f t="shared" ref="L52" si="16">1/11</f>
        <v>9.0909090909090912E-2</v>
      </c>
      <c r="M52" s="232">
        <f t="shared" si="14"/>
        <v>0.45454545454545459</v>
      </c>
      <c r="N52" s="154"/>
      <c r="O52" s="155">
        <f t="shared" si="15"/>
        <v>1</v>
      </c>
      <c r="P52" s="160"/>
    </row>
    <row r="53" spans="1:16" s="156" customFormat="1" ht="79.5" hidden="1" customHeight="1">
      <c r="A53" s="142">
        <v>6</v>
      </c>
      <c r="B53" s="323" t="s">
        <v>51</v>
      </c>
      <c r="C53" s="347"/>
      <c r="D53" s="347"/>
      <c r="E53" s="324"/>
      <c r="F53" s="234" t="s">
        <v>52</v>
      </c>
      <c r="G53" s="214"/>
      <c r="H53" s="345" t="str">
        <f t="shared" si="12"/>
        <v>BLACK</v>
      </c>
      <c r="I53" s="346"/>
      <c r="J53" s="157" t="s">
        <v>121</v>
      </c>
      <c r="K53" s="157">
        <f t="shared" si="13"/>
        <v>5</v>
      </c>
      <c r="L53" s="153">
        <f t="shared" ref="L53" si="17">2/11</f>
        <v>0.18181818181818182</v>
      </c>
      <c r="M53" s="154">
        <f t="shared" si="14"/>
        <v>0.90909090909090917</v>
      </c>
      <c r="N53" s="154"/>
      <c r="O53" s="155">
        <f>ROUNDUP(SUM(M53:N53),0)</f>
        <v>1</v>
      </c>
      <c r="P53" s="160"/>
    </row>
    <row r="54" spans="1:16" s="156" customFormat="1" ht="79.5" hidden="1" customHeight="1">
      <c r="A54" s="142">
        <v>7</v>
      </c>
      <c r="B54" s="323" t="s">
        <v>134</v>
      </c>
      <c r="C54" s="347"/>
      <c r="D54" s="347"/>
      <c r="E54" s="324"/>
      <c r="F54" s="236" t="s">
        <v>135</v>
      </c>
      <c r="G54" s="214"/>
      <c r="H54" s="345" t="str">
        <f t="shared" si="12"/>
        <v>BLACK</v>
      </c>
      <c r="I54" s="346"/>
      <c r="J54" s="157" t="s">
        <v>121</v>
      </c>
      <c r="K54" s="157">
        <f t="shared" si="13"/>
        <v>5</v>
      </c>
      <c r="L54" s="153">
        <f t="shared" ref="L54" si="18">1/11</f>
        <v>9.0909090909090912E-2</v>
      </c>
      <c r="M54" s="232">
        <f t="shared" si="14"/>
        <v>0.45454545454545459</v>
      </c>
      <c r="N54" s="154"/>
      <c r="O54" s="155">
        <f t="shared" si="15"/>
        <v>1</v>
      </c>
      <c r="P54" s="160"/>
    </row>
    <row r="55" spans="1:16" s="67" customFormat="1" ht="87.75" customHeight="1">
      <c r="A55" s="142">
        <v>2</v>
      </c>
      <c r="B55" s="323" t="s">
        <v>405</v>
      </c>
      <c r="C55" s="347"/>
      <c r="D55" s="347"/>
      <c r="E55" s="324"/>
      <c r="F55" s="220" t="s">
        <v>217</v>
      </c>
      <c r="G55" s="214"/>
      <c r="H55" s="345" t="s">
        <v>38</v>
      </c>
      <c r="I55" s="346"/>
      <c r="J55" s="157" t="s">
        <v>121</v>
      </c>
      <c r="K55" s="157">
        <f>+P27</f>
        <v>5</v>
      </c>
      <c r="L55" s="153">
        <v>1</v>
      </c>
      <c r="M55" s="229">
        <f t="shared" si="14"/>
        <v>5</v>
      </c>
      <c r="N55" s="154"/>
      <c r="O55" s="155">
        <f t="shared" ref="O55" si="19">SUM(M55:N55)</f>
        <v>5</v>
      </c>
      <c r="P55" s="155"/>
    </row>
    <row r="56" spans="1:16" s="156" customFormat="1" ht="32.65" customHeight="1">
      <c r="F56" s="187"/>
      <c r="G56" s="188"/>
      <c r="H56" s="189"/>
      <c r="I56" s="189"/>
      <c r="J56" s="186"/>
      <c r="K56" s="186"/>
      <c r="L56" s="186"/>
      <c r="M56" s="186"/>
      <c r="N56" s="190"/>
      <c r="O56" s="191"/>
      <c r="P56" s="192"/>
    </row>
    <row r="57" spans="1:16" s="14" customFormat="1" ht="50.15" customHeight="1">
      <c r="B57" s="305" t="s">
        <v>64</v>
      </c>
      <c r="C57" s="130"/>
      <c r="D57" s="131"/>
      <c r="E57" s="131"/>
      <c r="F57" s="131"/>
      <c r="G57" s="132"/>
      <c r="H57" s="131"/>
      <c r="I57" s="131"/>
      <c r="N57" s="65"/>
      <c r="O57" s="65"/>
      <c r="P57" s="66"/>
    </row>
    <row r="58" spans="1:16" s="143" customFormat="1" ht="60.75" customHeight="1">
      <c r="A58" s="143">
        <v>1</v>
      </c>
      <c r="B58" s="144" t="s">
        <v>214</v>
      </c>
      <c r="C58" s="17" t="s">
        <v>403</v>
      </c>
      <c r="D58" s="14"/>
      <c r="E58" s="14"/>
      <c r="F58" s="14"/>
      <c r="G58" s="67"/>
      <c r="H58" s="67"/>
      <c r="I58" s="67"/>
      <c r="J58" s="67"/>
      <c r="K58" s="342" t="s">
        <v>31</v>
      </c>
      <c r="L58" s="342"/>
      <c r="M58" s="342"/>
      <c r="N58" s="342"/>
      <c r="O58" s="67"/>
      <c r="P58" s="67"/>
    </row>
    <row r="59" spans="1:16" s="143" customFormat="1" ht="38.65" hidden="1" customHeight="1">
      <c r="A59" s="143" cm="1">
        <f t="array" aca="1" ref="A59" ca="1">59:65</f>
        <v>0</v>
      </c>
      <c r="B59" s="15" t="s">
        <v>234</v>
      </c>
      <c r="C59" s="17"/>
      <c r="D59" s="14"/>
      <c r="E59" s="14"/>
      <c r="F59" s="14"/>
      <c r="G59" s="67"/>
      <c r="H59" s="67"/>
      <c r="I59" s="67"/>
      <c r="J59" s="67"/>
      <c r="K59" s="18"/>
      <c r="L59" s="67"/>
      <c r="M59" s="67"/>
      <c r="N59" s="67"/>
      <c r="O59" s="67"/>
      <c r="P59" s="67"/>
    </row>
    <row r="60" spans="1:16" s="14" customFormat="1" ht="53.25" hidden="1" customHeight="1">
      <c r="A60" s="143"/>
      <c r="B60" s="343" t="s">
        <v>47</v>
      </c>
      <c r="C60" s="343"/>
      <c r="D60" s="343"/>
      <c r="E60" s="343"/>
      <c r="F60" s="343"/>
      <c r="G60" s="343"/>
      <c r="H60" s="343"/>
      <c r="I60" s="343"/>
      <c r="J60" s="343"/>
      <c r="K60" s="18"/>
      <c r="L60" s="67"/>
      <c r="M60" s="67"/>
      <c r="N60" s="67"/>
      <c r="O60" s="67"/>
      <c r="P60" s="67"/>
    </row>
    <row r="61" spans="1:16" s="14" customFormat="1" ht="59.25" hidden="1" customHeight="1">
      <c r="A61" s="143"/>
      <c r="B61" s="145" t="s">
        <v>40</v>
      </c>
      <c r="C61" s="344" t="s">
        <v>224</v>
      </c>
      <c r="D61" s="344"/>
      <c r="E61" s="344"/>
      <c r="F61" s="344"/>
      <c r="G61" s="344"/>
      <c r="H61" s="344"/>
      <c r="I61" s="344"/>
      <c r="J61" s="344"/>
      <c r="K61" s="67"/>
      <c r="L61" s="67"/>
      <c r="M61" s="67"/>
      <c r="N61" s="67"/>
      <c r="O61" s="67"/>
      <c r="P61" s="67"/>
    </row>
    <row r="62" spans="1:16" s="67" customFormat="1" ht="131.25" hidden="1" customHeight="1">
      <c r="A62" s="158"/>
      <c r="B62" s="220" t="str">
        <f>$A$33</f>
        <v>BLACK</v>
      </c>
      <c r="C62" s="330"/>
      <c r="D62" s="331"/>
      <c r="E62" s="331"/>
      <c r="F62" s="331"/>
      <c r="G62" s="331"/>
      <c r="H62" s="331"/>
      <c r="I62" s="331"/>
      <c r="J62" s="332"/>
    </row>
    <row r="63" spans="1:16" s="67" customFormat="1" ht="71.25" hidden="1" customHeight="1">
      <c r="A63" s="158"/>
      <c r="B63" s="327" t="s">
        <v>165</v>
      </c>
      <c r="C63" s="328"/>
      <c r="D63" s="328"/>
      <c r="E63" s="328"/>
      <c r="F63" s="328"/>
      <c r="G63" s="328"/>
      <c r="H63" s="328"/>
      <c r="I63" s="328"/>
      <c r="J63" s="329"/>
    </row>
    <row r="64" spans="1:16" s="67" customFormat="1" ht="48" hidden="1" customHeight="1">
      <c r="A64" s="158"/>
      <c r="B64" s="322" t="s">
        <v>59</v>
      </c>
      <c r="C64" s="322"/>
      <c r="D64" s="159" t="s">
        <v>65</v>
      </c>
      <c r="E64" s="159" t="s">
        <v>58</v>
      </c>
      <c r="F64" s="159" t="s">
        <v>10</v>
      </c>
      <c r="G64" s="159" t="s">
        <v>55</v>
      </c>
      <c r="H64" s="159" t="s">
        <v>56</v>
      </c>
      <c r="I64" s="160" t="s">
        <v>147</v>
      </c>
      <c r="J64" s="160" t="s">
        <v>144</v>
      </c>
    </row>
    <row r="65" spans="1:19" s="67" customFormat="1" ht="87.75" hidden="1" customHeight="1">
      <c r="A65" s="158"/>
      <c r="B65" s="323" t="s">
        <v>168</v>
      </c>
      <c r="C65" s="324"/>
      <c r="D65" s="333" t="s">
        <v>232</v>
      </c>
      <c r="E65" s="334"/>
      <c r="F65" s="334"/>
      <c r="G65" s="334"/>
      <c r="H65" s="334"/>
      <c r="I65" s="334"/>
      <c r="J65" s="335"/>
    </row>
    <row r="66" spans="1:19" s="67" customFormat="1" ht="142.5" hidden="1" customHeight="1">
      <c r="A66" s="158"/>
      <c r="B66" s="325" t="s">
        <v>396</v>
      </c>
      <c r="C66" s="326"/>
      <c r="D66" s="241"/>
      <c r="E66" s="241"/>
      <c r="F66" s="241"/>
      <c r="G66" s="300" t="s">
        <v>390</v>
      </c>
      <c r="H66" s="241"/>
      <c r="I66" s="241"/>
      <c r="J66" s="241"/>
    </row>
    <row r="67" spans="1:19" s="14" customFormat="1" ht="52.5" hidden="1" customHeight="1">
      <c r="A67" s="143"/>
      <c r="B67" s="143"/>
      <c r="C67" s="143"/>
      <c r="D67" s="131"/>
      <c r="E67" s="131"/>
      <c r="F67" s="131"/>
      <c r="G67" s="132"/>
      <c r="H67" s="131"/>
      <c r="I67" s="131"/>
      <c r="J67" s="243"/>
      <c r="K67" s="67"/>
      <c r="L67" s="67"/>
      <c r="M67" s="243"/>
      <c r="N67" s="65"/>
      <c r="O67" s="65"/>
      <c r="P67" s="66"/>
    </row>
    <row r="68" spans="1:19" s="143" customFormat="1" ht="68.25" hidden="1" customHeight="1">
      <c r="B68" s="15" t="s">
        <v>233</v>
      </c>
      <c r="C68" s="17"/>
      <c r="D68" s="244"/>
      <c r="E68" s="244"/>
      <c r="F68" s="244"/>
      <c r="G68" s="244"/>
      <c r="H68" s="244"/>
      <c r="I68" s="244"/>
      <c r="J68" s="244"/>
      <c r="K68" s="18"/>
      <c r="L68" s="67"/>
      <c r="M68" s="67"/>
      <c r="N68" s="67"/>
      <c r="O68" s="67"/>
      <c r="P68" s="67"/>
      <c r="Q68" s="14"/>
      <c r="R68" s="14"/>
      <c r="S68" s="14"/>
    </row>
    <row r="69" spans="1:19" s="14" customFormat="1" ht="59.25" hidden="1" customHeight="1">
      <c r="A69" s="143"/>
      <c r="B69" s="336" t="s">
        <v>47</v>
      </c>
      <c r="C69" s="337"/>
      <c r="D69" s="337"/>
      <c r="E69" s="337"/>
      <c r="F69" s="337"/>
      <c r="G69" s="337"/>
      <c r="H69" s="337"/>
      <c r="I69" s="337"/>
      <c r="J69" s="338"/>
      <c r="K69" s="18"/>
      <c r="L69" s="67"/>
      <c r="M69" s="67"/>
      <c r="N69" s="67"/>
      <c r="O69" s="67"/>
      <c r="P69" s="67"/>
    </row>
    <row r="70" spans="1:19" s="14" customFormat="1" ht="60.75" hidden="1" customHeight="1">
      <c r="A70" s="143"/>
      <c r="B70" s="145" t="s">
        <v>40</v>
      </c>
      <c r="C70" s="339" t="s">
        <v>224</v>
      </c>
      <c r="D70" s="340"/>
      <c r="E70" s="340"/>
      <c r="F70" s="340"/>
      <c r="G70" s="340"/>
      <c r="H70" s="340"/>
      <c r="I70" s="340"/>
      <c r="J70" s="341"/>
      <c r="K70" s="67"/>
      <c r="L70" s="67"/>
      <c r="M70" s="67"/>
      <c r="N70" s="67"/>
      <c r="O70" s="67"/>
      <c r="P70" s="67"/>
      <c r="Q70" s="67"/>
      <c r="R70" s="67"/>
      <c r="S70" s="67"/>
    </row>
    <row r="71" spans="1:19" s="67" customFormat="1" ht="125.25" hidden="1" customHeight="1">
      <c r="A71" s="158"/>
      <c r="B71" s="220" t="str">
        <f>$A$33</f>
        <v>BLACK</v>
      </c>
      <c r="C71" s="330"/>
      <c r="D71" s="331"/>
      <c r="E71" s="331"/>
      <c r="F71" s="331"/>
      <c r="G71" s="331"/>
      <c r="H71" s="331"/>
      <c r="I71" s="331"/>
      <c r="J71" s="332"/>
    </row>
    <row r="72" spans="1:19" s="67" customFormat="1" ht="65.25" hidden="1" customHeight="1">
      <c r="A72" s="158"/>
      <c r="B72" s="327" t="s">
        <v>165</v>
      </c>
      <c r="C72" s="328"/>
      <c r="D72" s="328"/>
      <c r="E72" s="328"/>
      <c r="F72" s="328"/>
      <c r="G72" s="328"/>
      <c r="H72" s="328"/>
      <c r="I72" s="328"/>
      <c r="J72" s="328"/>
    </row>
    <row r="73" spans="1:19" s="67" customFormat="1" ht="50.25" hidden="1" customHeight="1">
      <c r="A73" s="158"/>
      <c r="B73" s="322" t="s">
        <v>59</v>
      </c>
      <c r="C73" s="322"/>
      <c r="D73" s="159" t="s">
        <v>65</v>
      </c>
      <c r="E73" s="159" t="s">
        <v>58</v>
      </c>
      <c r="F73" s="159" t="s">
        <v>10</v>
      </c>
      <c r="G73" s="159" t="s">
        <v>55</v>
      </c>
      <c r="H73" s="159" t="s">
        <v>56</v>
      </c>
      <c r="I73" s="160" t="s">
        <v>147</v>
      </c>
      <c r="J73" s="160" t="s">
        <v>144</v>
      </c>
    </row>
    <row r="74" spans="1:19" s="67" customFormat="1" ht="130.5" hidden="1" customHeight="1">
      <c r="A74" s="158"/>
      <c r="B74" s="323" t="s">
        <v>168</v>
      </c>
      <c r="C74" s="324"/>
      <c r="D74" s="333" t="s">
        <v>231</v>
      </c>
      <c r="E74" s="334"/>
      <c r="F74" s="334"/>
      <c r="G74" s="334"/>
      <c r="H74" s="334"/>
      <c r="I74" s="334"/>
      <c r="J74" s="335"/>
    </row>
    <row r="75" spans="1:19" s="67" customFormat="1" ht="156" hidden="1" customHeight="1">
      <c r="A75" s="158"/>
      <c r="B75" s="321" t="s">
        <v>397</v>
      </c>
      <c r="C75" s="321"/>
      <c r="D75" s="247"/>
      <c r="E75" s="247"/>
      <c r="F75" s="247"/>
      <c r="G75" s="246" t="s">
        <v>392</v>
      </c>
      <c r="H75" s="248"/>
      <c r="I75" s="248"/>
      <c r="J75" s="248"/>
      <c r="Q75" s="143"/>
      <c r="R75" s="143"/>
      <c r="S75" s="143"/>
    </row>
    <row r="76" spans="1:19" s="143" customFormat="1" ht="74.25" customHeight="1">
      <c r="A76" s="15">
        <v>2</v>
      </c>
      <c r="B76" s="144" t="s">
        <v>113</v>
      </c>
      <c r="C76" s="17" t="s">
        <v>150</v>
      </c>
      <c r="D76" s="17"/>
      <c r="E76" s="17"/>
      <c r="F76" s="17"/>
      <c r="G76" s="67"/>
      <c r="H76" s="67"/>
      <c r="I76" s="67"/>
      <c r="J76" s="67"/>
      <c r="K76" s="18"/>
      <c r="L76" s="67"/>
      <c r="M76" s="67"/>
      <c r="N76" s="67"/>
      <c r="O76" s="67"/>
      <c r="P76" s="67"/>
    </row>
    <row r="77" spans="1:19" s="143" customFormat="1" ht="74.25" customHeight="1">
      <c r="A77" s="15">
        <v>3</v>
      </c>
      <c r="B77" s="144" t="s">
        <v>114</v>
      </c>
      <c r="C77" s="17" t="s">
        <v>151</v>
      </c>
      <c r="D77" s="67"/>
      <c r="E77" s="67"/>
      <c r="F77" s="67"/>
      <c r="G77" s="67"/>
      <c r="H77" s="67"/>
      <c r="I77" s="67"/>
      <c r="J77" s="67"/>
      <c r="K77" s="18"/>
      <c r="L77" s="67"/>
      <c r="M77" s="67"/>
      <c r="N77" s="67"/>
      <c r="O77" s="67"/>
      <c r="P77" s="67"/>
      <c r="Q77" s="14"/>
      <c r="R77" s="14"/>
      <c r="S77" s="14"/>
    </row>
    <row r="78" spans="1:19" s="14" customFormat="1" ht="17.149999999999999" customHeight="1">
      <c r="A78" s="143"/>
      <c r="B78" s="143"/>
      <c r="C78" s="67"/>
      <c r="D78" s="243"/>
      <c r="E78" s="243"/>
      <c r="G78" s="67"/>
      <c r="K78" s="67"/>
      <c r="L78" s="67"/>
      <c r="M78" s="66"/>
      <c r="N78" s="65"/>
      <c r="O78" s="65"/>
      <c r="P78" s="66"/>
    </row>
    <row r="79" spans="1:19" s="14" customFormat="1" ht="48.65" customHeight="1">
      <c r="B79" s="306" t="s">
        <v>111</v>
      </c>
      <c r="C79" s="243"/>
      <c r="D79" s="143"/>
      <c r="G79" s="67"/>
      <c r="M79" s="66"/>
      <c r="N79" s="65"/>
      <c r="O79" s="65"/>
      <c r="P79" s="66"/>
    </row>
    <row r="80" spans="1:19" s="14" customFormat="1" ht="63.75" customHeight="1">
      <c r="A80" s="143">
        <v>1</v>
      </c>
      <c r="B80" s="146" t="s">
        <v>152</v>
      </c>
      <c r="C80" s="143"/>
      <c r="D80" s="143"/>
      <c r="G80" s="67"/>
      <c r="M80" s="66"/>
      <c r="N80" s="65"/>
      <c r="O80" s="65"/>
      <c r="P80" s="66"/>
    </row>
    <row r="81" spans="1:19" s="14" customFormat="1" ht="63.75" customHeight="1">
      <c r="A81" s="143">
        <v>2</v>
      </c>
      <c r="B81" s="146" t="s">
        <v>153</v>
      </c>
      <c r="C81" s="143"/>
      <c r="D81" s="143"/>
      <c r="G81" s="67"/>
      <c r="M81" s="66"/>
      <c r="N81" s="65"/>
      <c r="O81" s="65"/>
      <c r="P81" s="66"/>
    </row>
    <row r="82" spans="1:19" s="14" customFormat="1" ht="63.75" customHeight="1">
      <c r="A82" s="146">
        <v>3</v>
      </c>
      <c r="B82" s="146" t="s">
        <v>154</v>
      </c>
      <c r="C82" s="143"/>
      <c r="D82" s="143"/>
      <c r="G82" s="67"/>
      <c r="M82" s="66"/>
      <c r="N82" s="65"/>
      <c r="O82" s="65"/>
      <c r="P82" s="66"/>
    </row>
    <row r="83" spans="1:19" s="14" customFormat="1" ht="66.75" customHeight="1">
      <c r="A83" s="143"/>
      <c r="B83" s="68" t="s">
        <v>59</v>
      </c>
      <c r="C83" s="69" t="s">
        <v>65</v>
      </c>
      <c r="D83" s="69" t="s">
        <v>58</v>
      </c>
      <c r="E83" s="69" t="s">
        <v>10</v>
      </c>
      <c r="F83" s="69" t="s">
        <v>55</v>
      </c>
      <c r="G83" s="69" t="s">
        <v>56</v>
      </c>
      <c r="H83" s="69" t="s">
        <v>57</v>
      </c>
      <c r="I83" s="242" t="s">
        <v>230</v>
      </c>
      <c r="J83" s="70"/>
      <c r="M83" s="70"/>
      <c r="N83" s="17"/>
      <c r="O83" s="17"/>
      <c r="P83" s="17"/>
      <c r="Q83" s="17"/>
      <c r="R83" s="17"/>
      <c r="S83" s="17"/>
    </row>
    <row r="84" spans="1:19" s="17" customFormat="1" ht="66.75" customHeight="1">
      <c r="A84" s="15"/>
      <c r="B84" s="68" t="s">
        <v>60</v>
      </c>
      <c r="C84" s="64">
        <f t="shared" ref="C84:I84" si="20">G29</f>
        <v>0</v>
      </c>
      <c r="D84" s="64">
        <f t="shared" si="20"/>
        <v>0</v>
      </c>
      <c r="E84" s="64">
        <f t="shared" si="20"/>
        <v>0</v>
      </c>
      <c r="F84" s="64">
        <f t="shared" si="20"/>
        <v>0</v>
      </c>
      <c r="G84" s="64">
        <f t="shared" si="20"/>
        <v>10</v>
      </c>
      <c r="H84" s="64">
        <f t="shared" si="20"/>
        <v>0</v>
      </c>
      <c r="I84" s="64">
        <f t="shared" si="20"/>
        <v>0</v>
      </c>
      <c r="J84" s="70"/>
      <c r="K84" s="71"/>
      <c r="L84" s="71"/>
      <c r="M84" s="70"/>
    </row>
    <row r="85" spans="1:19" s="17" customFormat="1" ht="71">
      <c r="A85" s="15"/>
      <c r="B85" s="161" t="s">
        <v>141</v>
      </c>
      <c r="D85" s="245"/>
      <c r="E85" s="71"/>
      <c r="F85" s="71"/>
      <c r="G85" s="245"/>
      <c r="H85" s="245"/>
      <c r="I85" s="245"/>
      <c r="J85" s="245"/>
      <c r="K85" s="162"/>
      <c r="L85" s="162"/>
      <c r="M85" s="162"/>
    </row>
    <row r="86" spans="1:19" s="162" customFormat="1" ht="88.15" customHeight="1">
      <c r="C86" s="245"/>
      <c r="G86" s="163"/>
      <c r="K86" s="245"/>
      <c r="L86" s="245"/>
    </row>
    <row r="87" spans="1:19" s="162" customFormat="1" ht="71">
      <c r="B87" s="161"/>
      <c r="C87" s="161"/>
      <c r="D87" s="147"/>
      <c r="E87" s="147"/>
      <c r="F87" s="147"/>
      <c r="G87" s="148"/>
      <c r="H87" s="147"/>
      <c r="I87" s="147"/>
      <c r="J87" s="147"/>
      <c r="M87" s="147"/>
      <c r="N87" s="147"/>
      <c r="O87" s="147"/>
      <c r="P87" s="147"/>
      <c r="Q87" s="147"/>
      <c r="R87" s="147"/>
      <c r="S87" s="147"/>
    </row>
    <row r="88" spans="1:19" s="147" customFormat="1" ht="32.5">
      <c r="G88" s="148"/>
    </row>
    <row r="89" spans="1:19" s="147" customFormat="1" ht="32.5">
      <c r="G89" s="148"/>
    </row>
    <row r="90" spans="1:19" s="147" customFormat="1" ht="32.5">
      <c r="G90" s="148"/>
    </row>
    <row r="91" spans="1:19" s="147" customFormat="1" ht="32.5">
      <c r="G91" s="148"/>
    </row>
    <row r="92" spans="1:19" s="147" customFormat="1" ht="32.5">
      <c r="G92" s="148"/>
    </row>
    <row r="93" spans="1:19" s="147" customFormat="1" ht="32.5">
      <c r="G93" s="148"/>
    </row>
    <row r="94" spans="1:19" s="147" customFormat="1" ht="32.5">
      <c r="G94" s="148"/>
    </row>
    <row r="95" spans="1:19" s="147" customFormat="1" ht="32.5">
      <c r="G95" s="148"/>
    </row>
    <row r="96" spans="1:19" s="147" customFormat="1" ht="32.5">
      <c r="G96" s="148"/>
    </row>
    <row r="97" spans="4:19" s="147" customFormat="1" ht="32.5">
      <c r="G97" s="148"/>
    </row>
    <row r="98" spans="4:19" s="147" customFormat="1" ht="32.5">
      <c r="G98" s="148"/>
    </row>
    <row r="99" spans="4:19" s="147" customFormat="1" ht="32.5">
      <c r="G99" s="148"/>
    </row>
    <row r="100" spans="4:19" s="147" customFormat="1" ht="32.5">
      <c r="G100" s="148"/>
    </row>
    <row r="101" spans="4:19" s="147" customFormat="1" ht="32.5">
      <c r="G101" s="148"/>
    </row>
    <row r="102" spans="4:19" s="147" customFormat="1" ht="32.5">
      <c r="G102" s="148"/>
    </row>
    <row r="103" spans="4:19" s="147" customFormat="1" ht="32.5">
      <c r="G103" s="148"/>
    </row>
    <row r="104" spans="4:19" s="147" customFormat="1" ht="32.5">
      <c r="G104" s="148"/>
    </row>
    <row r="105" spans="4:19" s="147" customFormat="1" ht="32.5">
      <c r="G105" s="148"/>
    </row>
    <row r="106" spans="4:19" s="147" customFormat="1" ht="32.5">
      <c r="G106" s="148"/>
    </row>
    <row r="107" spans="4:19" s="147" customFormat="1" ht="32.5">
      <c r="G107" s="148"/>
    </row>
    <row r="108" spans="4:19" s="147" customFormat="1" ht="32.5">
      <c r="D108" s="72"/>
      <c r="E108" s="72"/>
      <c r="F108" s="72"/>
      <c r="G108" s="73"/>
      <c r="H108" s="72"/>
      <c r="I108" s="72"/>
      <c r="J108" s="72"/>
      <c r="M108" s="72"/>
      <c r="N108" s="72"/>
      <c r="O108" s="72"/>
      <c r="P108" s="72"/>
      <c r="Q108" s="72"/>
      <c r="R108" s="72"/>
      <c r="S108" s="72"/>
    </row>
  </sheetData>
  <mergeCells count="66">
    <mergeCell ref="H43:I43"/>
    <mergeCell ref="A40:E40"/>
    <mergeCell ref="H40:I40"/>
    <mergeCell ref="H41:I41"/>
    <mergeCell ref="B43:E43"/>
    <mergeCell ref="B41:E41"/>
    <mergeCell ref="B42:E42"/>
    <mergeCell ref="H42:I42"/>
    <mergeCell ref="M35:P35"/>
    <mergeCell ref="B34:C34"/>
    <mergeCell ref="M34:P34"/>
    <mergeCell ref="M1:N1"/>
    <mergeCell ref="O1:P1"/>
    <mergeCell ref="M2:N2"/>
    <mergeCell ref="O2:P2"/>
    <mergeCell ref="M3:N3"/>
    <mergeCell ref="O3:P3"/>
    <mergeCell ref="G5:L8"/>
    <mergeCell ref="L11:P11"/>
    <mergeCell ref="B13:F13"/>
    <mergeCell ref="A32:C32"/>
    <mergeCell ref="M32:P32"/>
    <mergeCell ref="A33:P33"/>
    <mergeCell ref="B35:C35"/>
    <mergeCell ref="B44:E44"/>
    <mergeCell ref="H44:I44"/>
    <mergeCell ref="H51:I51"/>
    <mergeCell ref="H50:I50"/>
    <mergeCell ref="H49:I49"/>
    <mergeCell ref="A47:E47"/>
    <mergeCell ref="H47:I47"/>
    <mergeCell ref="H48:I48"/>
    <mergeCell ref="B50:E50"/>
    <mergeCell ref="B51:E51"/>
    <mergeCell ref="B48:E48"/>
    <mergeCell ref="B49:E49"/>
    <mergeCell ref="H53:I53"/>
    <mergeCell ref="H52:I52"/>
    <mergeCell ref="B52:E52"/>
    <mergeCell ref="B53:E53"/>
    <mergeCell ref="B54:E54"/>
    <mergeCell ref="K58:N58"/>
    <mergeCell ref="B60:J60"/>
    <mergeCell ref="C61:J61"/>
    <mergeCell ref="C62:J62"/>
    <mergeCell ref="H54:I54"/>
    <mergeCell ref="B55:E55"/>
    <mergeCell ref="H55:I55"/>
    <mergeCell ref="B75:C75"/>
    <mergeCell ref="B64:C64"/>
    <mergeCell ref="B65:C65"/>
    <mergeCell ref="B66:C66"/>
    <mergeCell ref="B63:J63"/>
    <mergeCell ref="C71:J71"/>
    <mergeCell ref="D74:J74"/>
    <mergeCell ref="B72:J72"/>
    <mergeCell ref="D65:J65"/>
    <mergeCell ref="B69:J69"/>
    <mergeCell ref="C70:J70"/>
    <mergeCell ref="B73:C73"/>
    <mergeCell ref="B74:C74"/>
    <mergeCell ref="A36:P36"/>
    <mergeCell ref="B37:C37"/>
    <mergeCell ref="M37:P37"/>
    <mergeCell ref="B38:C38"/>
    <mergeCell ref="M38:P38"/>
  </mergeCells>
  <printOptions horizontalCentered="1"/>
  <pageMargins left="0.25" right="0" top="0.61388888888888904" bottom="0.75" header="0" footer="0"/>
  <pageSetup paperSize="9" scale="3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6" max="15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O299"/>
  <sheetViews>
    <sheetView view="pageBreakPreview" topLeftCell="A17" zoomScale="40" zoomScaleNormal="55" zoomScaleSheetLayoutView="40" zoomScalePageLayoutView="40" workbookViewId="0">
      <selection activeCell="F42" sqref="F42"/>
    </sheetView>
  </sheetViews>
  <sheetFormatPr defaultColWidth="9.26953125" defaultRowHeight="16.5"/>
  <cols>
    <col min="1" max="1" width="8.453125" style="72" customWidth="1"/>
    <col min="2" max="2" width="24.54296875" style="72" customWidth="1"/>
    <col min="3" max="3" width="26" style="72" customWidth="1"/>
    <col min="4" max="4" width="22.54296875" style="72" customWidth="1"/>
    <col min="5" max="5" width="21.453125" style="72" customWidth="1"/>
    <col min="6" max="6" width="21.7265625" style="72" customWidth="1"/>
    <col min="7" max="7" width="17.7265625" style="73" customWidth="1"/>
    <col min="8" max="8" width="16" style="72" customWidth="1"/>
    <col min="9" max="9" width="18.54296875" style="72" customWidth="1"/>
    <col min="10" max="10" width="16" style="72" customWidth="1"/>
    <col min="11" max="11" width="19" style="72" customWidth="1"/>
    <col min="12" max="12" width="18.7265625" style="72" customWidth="1"/>
    <col min="13" max="13" width="14.26953125" style="72" customWidth="1"/>
    <col min="14" max="15" width="13.453125" style="72" customWidth="1"/>
    <col min="16" max="16" width="20.7265625" style="72" customWidth="1"/>
    <col min="17" max="24" width="21.54296875" style="72" customWidth="1"/>
    <col min="25" max="16384" width="9.26953125" style="72"/>
  </cols>
  <sheetData>
    <row r="1" spans="1:41" s="4" customFormat="1" ht="31.15" customHeight="1">
      <c r="A1" s="103"/>
      <c r="B1" s="103"/>
      <c r="C1" s="103"/>
      <c r="D1" s="104"/>
      <c r="E1" s="103"/>
      <c r="F1" s="103"/>
      <c r="G1" s="103"/>
      <c r="H1" s="103"/>
      <c r="I1" s="103"/>
      <c r="J1" s="103"/>
      <c r="K1" s="103"/>
      <c r="L1" s="105"/>
      <c r="M1" s="353" t="s">
        <v>106</v>
      </c>
      <c r="N1" s="353" t="s">
        <v>106</v>
      </c>
      <c r="O1" s="354" t="s">
        <v>107</v>
      </c>
      <c r="P1" s="354"/>
    </row>
    <row r="2" spans="1:41" s="4" customFormat="1" ht="31.15" customHeight="1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5"/>
      <c r="M2" s="353" t="s">
        <v>108</v>
      </c>
      <c r="N2" s="353" t="s">
        <v>108</v>
      </c>
      <c r="O2" s="355" t="s">
        <v>109</v>
      </c>
      <c r="P2" s="355"/>
    </row>
    <row r="3" spans="1:41" s="4" customFormat="1" ht="31.15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5"/>
      <c r="M3" s="353" t="s">
        <v>110</v>
      </c>
      <c r="N3" s="353" t="s">
        <v>110</v>
      </c>
      <c r="O3" s="356" t="s">
        <v>112</v>
      </c>
      <c r="P3" s="354"/>
    </row>
    <row r="4" spans="1:41" s="5" customFormat="1" ht="42" customHeight="1" thickBot="1">
      <c r="B4" s="6" t="s">
        <v>191</v>
      </c>
      <c r="G4" s="7"/>
    </row>
    <row r="5" spans="1:41" s="5" customFormat="1" ht="72" customHeight="1">
      <c r="B5" s="8" t="s">
        <v>0</v>
      </c>
      <c r="C5" s="8"/>
      <c r="D5" s="6"/>
      <c r="F5" s="9"/>
      <c r="G5" s="357" t="s">
        <v>190</v>
      </c>
      <c r="H5" s="358"/>
      <c r="I5" s="358"/>
      <c r="J5" s="358"/>
      <c r="K5" s="358"/>
      <c r="L5" s="359"/>
    </row>
    <row r="6" spans="1:41" s="10" customFormat="1" ht="53.15" customHeight="1">
      <c r="B6" s="11" t="s">
        <v>41</v>
      </c>
      <c r="C6" s="11"/>
      <c r="D6" s="12" t="s">
        <v>192</v>
      </c>
      <c r="E6" s="141"/>
      <c r="F6" s="11"/>
      <c r="G6" s="360"/>
      <c r="H6" s="361"/>
      <c r="I6" s="361"/>
      <c r="J6" s="361"/>
      <c r="K6" s="361"/>
      <c r="L6" s="362"/>
      <c r="M6" s="13"/>
      <c r="N6" s="13"/>
      <c r="O6" s="13"/>
      <c r="P6" s="13"/>
    </row>
    <row r="7" spans="1:41" s="10" customFormat="1" ht="53.15" customHeight="1">
      <c r="B7" s="11" t="s">
        <v>42</v>
      </c>
      <c r="C7" s="11"/>
      <c r="D7" s="12" t="s">
        <v>193</v>
      </c>
      <c r="E7" s="12"/>
      <c r="F7" s="11"/>
      <c r="G7" s="360"/>
      <c r="H7" s="361"/>
      <c r="I7" s="361"/>
      <c r="J7" s="361"/>
      <c r="K7" s="361"/>
      <c r="L7" s="362"/>
      <c r="M7" s="13"/>
      <c r="N7" s="13"/>
      <c r="O7" s="13"/>
      <c r="P7" s="13"/>
    </row>
    <row r="8" spans="1:41" s="10" customFormat="1" ht="53.15" customHeight="1" thickBot="1">
      <c r="B8" s="11" t="s">
        <v>43</v>
      </c>
      <c r="C8" s="11"/>
      <c r="D8" s="184" t="s">
        <v>169</v>
      </c>
      <c r="E8" s="150"/>
      <c r="F8" s="150"/>
      <c r="G8" s="363"/>
      <c r="H8" s="364"/>
      <c r="I8" s="364"/>
      <c r="J8" s="364"/>
      <c r="K8" s="364"/>
      <c r="L8" s="365"/>
      <c r="M8" s="13"/>
      <c r="N8" s="13"/>
      <c r="O8" s="13"/>
      <c r="P8" s="13"/>
    </row>
    <row r="9" spans="1:41" s="14" customFormat="1" ht="62.15" customHeight="1">
      <c r="B9" s="15" t="s">
        <v>1</v>
      </c>
      <c r="C9" s="15"/>
      <c r="D9" s="172" t="s">
        <v>194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41" s="14" customFormat="1" ht="32.5">
      <c r="B10" s="19" t="s">
        <v>2</v>
      </c>
      <c r="C10" s="19"/>
      <c r="D10" s="20" t="s">
        <v>170</v>
      </c>
      <c r="E10" s="20"/>
      <c r="F10" s="20"/>
      <c r="G10" s="21"/>
      <c r="H10" s="20"/>
      <c r="I10" s="22"/>
      <c r="J10" s="22" t="s">
        <v>44</v>
      </c>
      <c r="K10" s="22"/>
      <c r="L10" s="22" t="s">
        <v>195</v>
      </c>
      <c r="M10" s="23"/>
      <c r="N10" s="23"/>
      <c r="O10" s="23"/>
      <c r="P10" s="23"/>
    </row>
    <row r="11" spans="1:41" s="14" customFormat="1" ht="60.65" customHeight="1">
      <c r="B11" s="22" t="s">
        <v>3</v>
      </c>
      <c r="C11" s="22"/>
      <c r="D11" s="151"/>
      <c r="E11" s="152"/>
      <c r="F11" s="152"/>
      <c r="G11" s="24"/>
      <c r="H11" s="25"/>
      <c r="I11" s="22"/>
      <c r="J11" s="22" t="s">
        <v>4</v>
      </c>
      <c r="K11" s="22"/>
      <c r="L11" s="366" t="s">
        <v>171</v>
      </c>
      <c r="M11" s="366"/>
      <c r="N11" s="366"/>
      <c r="O11" s="366"/>
      <c r="P11" s="366"/>
    </row>
    <row r="12" spans="1:41" s="14" customFormat="1" ht="32.5">
      <c r="B12" s="22" t="s">
        <v>5</v>
      </c>
      <c r="C12" s="22"/>
      <c r="D12" s="26"/>
      <c r="E12" s="22"/>
      <c r="F12" s="22"/>
      <c r="G12" s="27"/>
      <c r="H12" s="28"/>
      <c r="I12" s="22"/>
      <c r="J12" s="210" t="s">
        <v>39</v>
      </c>
      <c r="L12" s="22" t="s">
        <v>115</v>
      </c>
      <c r="M12" s="22"/>
      <c r="N12" s="28"/>
      <c r="O12" s="28"/>
      <c r="P12" s="23"/>
      <c r="S12" s="197"/>
    </row>
    <row r="13" spans="1:41" s="14" customFormat="1" ht="32.5">
      <c r="B13" s="367"/>
      <c r="C13" s="367"/>
      <c r="D13" s="367"/>
      <c r="E13" s="367"/>
      <c r="F13" s="367"/>
      <c r="G13" s="27"/>
      <c r="H13" s="28"/>
      <c r="I13" s="22"/>
      <c r="J13" s="22" t="s">
        <v>6</v>
      </c>
      <c r="K13" s="22"/>
      <c r="L13" s="22" t="s">
        <v>175</v>
      </c>
      <c r="M13" s="28"/>
      <c r="N13" s="23"/>
      <c r="O13" s="23"/>
      <c r="P13" s="28"/>
      <c r="S13" s="197"/>
      <c r="T13" s="198"/>
    </row>
    <row r="14" spans="1:41" s="14" customFormat="1" ht="32.5">
      <c r="B14" s="22" t="s">
        <v>48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3" t="s">
        <v>116</v>
      </c>
      <c r="M14" s="23"/>
      <c r="N14" s="23"/>
      <c r="O14" s="23"/>
      <c r="P14" s="23"/>
      <c r="S14" s="197"/>
      <c r="T14" s="198"/>
    </row>
    <row r="15" spans="1:41" s="14" customFormat="1" ht="21" customHeight="1">
      <c r="B15" s="30" t="s">
        <v>62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S15" s="197"/>
      <c r="T15" s="198"/>
    </row>
    <row r="16" spans="1:41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R16" s="14"/>
      <c r="S16" s="197"/>
      <c r="T16" s="198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</row>
    <row r="17" spans="2:41" s="5" customFormat="1" ht="35.25" customHeight="1">
      <c r="B17" s="34"/>
      <c r="C17" s="133" t="s">
        <v>105</v>
      </c>
      <c r="D17" s="133" t="s">
        <v>9</v>
      </c>
      <c r="E17" s="35" t="s">
        <v>54</v>
      </c>
      <c r="F17" s="35"/>
      <c r="G17" s="35" t="s">
        <v>65</v>
      </c>
      <c r="H17" s="35" t="s">
        <v>58</v>
      </c>
      <c r="I17" s="35" t="s">
        <v>10</v>
      </c>
      <c r="J17" s="35" t="s">
        <v>55</v>
      </c>
      <c r="K17" s="35" t="s">
        <v>56</v>
      </c>
      <c r="L17" s="35" t="s">
        <v>57</v>
      </c>
      <c r="M17" s="35"/>
      <c r="N17" s="35"/>
      <c r="O17" s="35"/>
      <c r="P17" s="135" t="s">
        <v>11</v>
      </c>
      <c r="R17" s="14"/>
      <c r="S17" s="197"/>
      <c r="T17" s="198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</row>
    <row r="18" spans="2:41" s="5" customFormat="1" ht="35.65" customHeight="1">
      <c r="B18" s="134" t="s">
        <v>12</v>
      </c>
      <c r="C18" s="36"/>
      <c r="D18" s="37" t="s">
        <v>117</v>
      </c>
      <c r="E18" s="38"/>
      <c r="F18" s="39"/>
      <c r="G18" s="39">
        <v>25</v>
      </c>
      <c r="H18" s="39">
        <v>271</v>
      </c>
      <c r="I18" s="39">
        <v>429</v>
      </c>
      <c r="J18" s="39">
        <v>375</v>
      </c>
      <c r="K18" s="39">
        <v>215</v>
      </c>
      <c r="L18" s="39">
        <v>60</v>
      </c>
      <c r="M18" s="39"/>
      <c r="N18" s="39"/>
      <c r="O18" s="39"/>
      <c r="P18" s="40">
        <f>SUM(G18:O18)</f>
        <v>1375</v>
      </c>
      <c r="Q18" s="226">
        <v>25</v>
      </c>
      <c r="R18" s="226">
        <v>271</v>
      </c>
      <c r="S18" s="226">
        <v>429</v>
      </c>
      <c r="T18" s="226">
        <v>375</v>
      </c>
      <c r="U18" s="226">
        <v>215</v>
      </c>
      <c r="V18" s="226">
        <v>60</v>
      </c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</row>
    <row r="19" spans="2:41" s="5" customFormat="1" ht="35.65" customHeight="1">
      <c r="B19" s="134" t="s">
        <v>61</v>
      </c>
      <c r="C19" s="36"/>
      <c r="D19" s="38" t="str">
        <f>D18</f>
        <v>DARKEST BLACK</v>
      </c>
      <c r="E19" s="38"/>
      <c r="F19" s="39"/>
      <c r="G19" s="39">
        <f>ROUNDUP(G18*5%,0)</f>
        <v>2</v>
      </c>
      <c r="H19" s="39">
        <f t="shared" ref="H19:L19" si="0">ROUNDUP(H18*5%,0)</f>
        <v>14</v>
      </c>
      <c r="I19" s="39">
        <f>ROUNDUP(I18*5%,0)+1</f>
        <v>23</v>
      </c>
      <c r="J19" s="39">
        <f t="shared" si="0"/>
        <v>19</v>
      </c>
      <c r="K19" s="39">
        <f t="shared" si="0"/>
        <v>11</v>
      </c>
      <c r="L19" s="39">
        <f t="shared" si="0"/>
        <v>3</v>
      </c>
      <c r="M19" s="39"/>
      <c r="N19" s="39"/>
      <c r="O19" s="39"/>
      <c r="P19" s="40">
        <f>SUM(G19:O19)</f>
        <v>72</v>
      </c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</row>
    <row r="20" spans="2:41" s="6" customFormat="1" ht="35.65" customHeight="1">
      <c r="B20" s="137" t="s">
        <v>13</v>
      </c>
      <c r="C20" s="137"/>
      <c r="D20" s="140" t="str">
        <f>D19</f>
        <v>DARKEST BLACK</v>
      </c>
      <c r="E20" s="138"/>
      <c r="F20" s="139"/>
      <c r="G20" s="139">
        <f>SUM(G18:G19)</f>
        <v>27</v>
      </c>
      <c r="H20" s="139">
        <f t="shared" ref="H20:L20" si="1">SUM(H18:H19)</f>
        <v>285</v>
      </c>
      <c r="I20" s="139">
        <f t="shared" si="1"/>
        <v>452</v>
      </c>
      <c r="J20" s="139">
        <f t="shared" si="1"/>
        <v>394</v>
      </c>
      <c r="K20" s="139">
        <f t="shared" si="1"/>
        <v>226</v>
      </c>
      <c r="L20" s="139">
        <f t="shared" si="1"/>
        <v>63</v>
      </c>
      <c r="M20" s="139"/>
      <c r="N20" s="139"/>
      <c r="O20" s="139"/>
      <c r="P20" s="139">
        <f t="shared" ref="P20" si="2">SUM(P18:P19)</f>
        <v>1447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2:41" s="5" customFormat="1" ht="34.5" customHeight="1">
      <c r="B21" s="12"/>
      <c r="C21" s="12"/>
      <c r="D21" s="12"/>
      <c r="E21" s="41"/>
      <c r="F21" s="41"/>
      <c r="G21" s="200"/>
      <c r="H21" s="200"/>
      <c r="I21" s="200"/>
      <c r="J21" s="200"/>
      <c r="K21" s="200"/>
      <c r="L21" s="201"/>
      <c r="M21" s="201"/>
      <c r="N21" s="34"/>
      <c r="O21" s="34"/>
      <c r="P21" s="202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</row>
    <row r="22" spans="2:41" s="5" customFormat="1" ht="35.65" customHeight="1">
      <c r="B22" s="34"/>
      <c r="C22" s="133" t="s">
        <v>105</v>
      </c>
      <c r="D22" s="133" t="s">
        <v>9</v>
      </c>
      <c r="E22" s="35" t="s">
        <v>54</v>
      </c>
      <c r="F22" s="35"/>
      <c r="G22" s="35" t="s">
        <v>65</v>
      </c>
      <c r="H22" s="35" t="s">
        <v>58</v>
      </c>
      <c r="I22" s="35" t="s">
        <v>10</v>
      </c>
      <c r="J22" s="35" t="s">
        <v>55</v>
      </c>
      <c r="K22" s="35" t="s">
        <v>56</v>
      </c>
      <c r="L22" s="35" t="s">
        <v>57</v>
      </c>
      <c r="M22" s="35"/>
      <c r="N22" s="35"/>
      <c r="O22" s="35"/>
      <c r="P22" s="135" t="s">
        <v>11</v>
      </c>
      <c r="Q22" s="227">
        <v>11</v>
      </c>
      <c r="R22" s="227">
        <v>123</v>
      </c>
      <c r="S22" s="227">
        <v>195</v>
      </c>
      <c r="T22" s="227">
        <v>171</v>
      </c>
      <c r="U22" s="227">
        <v>98</v>
      </c>
      <c r="V22" s="227">
        <v>27</v>
      </c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</row>
    <row r="23" spans="2:41" s="5" customFormat="1" ht="35.65" customHeight="1">
      <c r="B23" s="134" t="s">
        <v>12</v>
      </c>
      <c r="C23" s="36"/>
      <c r="D23" s="37" t="s">
        <v>196</v>
      </c>
      <c r="E23" s="38"/>
      <c r="F23" s="39"/>
      <c r="G23" s="39">
        <v>11</v>
      </c>
      <c r="H23" s="39">
        <v>123</v>
      </c>
      <c r="I23" s="39">
        <v>195</v>
      </c>
      <c r="J23" s="39">
        <v>171</v>
      </c>
      <c r="K23" s="39">
        <v>98</v>
      </c>
      <c r="L23" s="39">
        <v>27</v>
      </c>
      <c r="M23" s="39"/>
      <c r="N23" s="39"/>
      <c r="O23" s="39"/>
      <c r="P23" s="40">
        <f>SUM(G23:O23)</f>
        <v>625</v>
      </c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</row>
    <row r="24" spans="2:41" s="5" customFormat="1" ht="35.65" customHeight="1">
      <c r="B24" s="134" t="s">
        <v>61</v>
      </c>
      <c r="C24" s="36"/>
      <c r="D24" s="38" t="str">
        <f>D23</f>
        <v>CANOPY</v>
      </c>
      <c r="E24" s="38"/>
      <c r="F24" s="39"/>
      <c r="G24" s="39">
        <f>ROUNDUP(G23*5%,0)</f>
        <v>1</v>
      </c>
      <c r="H24" s="39">
        <f t="shared" ref="H24:L24" si="3">ROUNDUP(H23*5%,0)</f>
        <v>7</v>
      </c>
      <c r="I24" s="39">
        <f>ROUNDUP(I23*5%,0)+1</f>
        <v>11</v>
      </c>
      <c r="J24" s="39">
        <f t="shared" si="3"/>
        <v>9</v>
      </c>
      <c r="K24" s="39">
        <f t="shared" si="3"/>
        <v>5</v>
      </c>
      <c r="L24" s="39">
        <f t="shared" si="3"/>
        <v>2</v>
      </c>
      <c r="M24" s="39"/>
      <c r="N24" s="39"/>
      <c r="O24" s="39"/>
      <c r="P24" s="40">
        <f>SUM(G24:O24)</f>
        <v>35</v>
      </c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</row>
    <row r="25" spans="2:41" s="6" customFormat="1" ht="35.65" customHeight="1">
      <c r="B25" s="137" t="s">
        <v>13</v>
      </c>
      <c r="C25" s="137"/>
      <c r="D25" s="140" t="str">
        <f>D24</f>
        <v>CANOPY</v>
      </c>
      <c r="E25" s="138"/>
      <c r="F25" s="139"/>
      <c r="G25" s="139">
        <f>SUM(G23:G24)</f>
        <v>12</v>
      </c>
      <c r="H25" s="139">
        <f t="shared" ref="H25:L25" si="4">SUM(H23:H24)</f>
        <v>130</v>
      </c>
      <c r="I25" s="139">
        <f t="shared" si="4"/>
        <v>206</v>
      </c>
      <c r="J25" s="139">
        <f t="shared" si="4"/>
        <v>180</v>
      </c>
      <c r="K25" s="139">
        <f t="shared" si="4"/>
        <v>103</v>
      </c>
      <c r="L25" s="139">
        <f t="shared" si="4"/>
        <v>29</v>
      </c>
      <c r="M25" s="139"/>
      <c r="N25" s="139"/>
      <c r="O25" s="139"/>
      <c r="P25" s="139">
        <f t="shared" ref="P25" si="5">SUM(P23:P24)</f>
        <v>660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</row>
    <row r="26" spans="2:41" s="5" customFormat="1" ht="34.5" customHeight="1">
      <c r="B26" s="12"/>
      <c r="C26" s="12"/>
      <c r="D26" s="12"/>
      <c r="E26" s="41"/>
      <c r="F26" s="41"/>
      <c r="G26" s="200"/>
      <c r="H26" s="200"/>
      <c r="I26" s="200"/>
      <c r="J26" s="200"/>
      <c r="K26" s="200"/>
      <c r="L26" s="201"/>
      <c r="M26" s="201"/>
      <c r="N26" s="34"/>
      <c r="O26" s="34"/>
      <c r="P26" s="202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  <row r="27" spans="2:41" s="5" customFormat="1" ht="35.65" customHeight="1">
      <c r="B27" s="34"/>
      <c r="C27" s="133" t="s">
        <v>105</v>
      </c>
      <c r="D27" s="133" t="s">
        <v>9</v>
      </c>
      <c r="E27" s="35" t="s">
        <v>54</v>
      </c>
      <c r="F27" s="35"/>
      <c r="G27" s="35" t="s">
        <v>65</v>
      </c>
      <c r="H27" s="35" t="s">
        <v>58</v>
      </c>
      <c r="I27" s="35" t="s">
        <v>10</v>
      </c>
      <c r="J27" s="35" t="s">
        <v>55</v>
      </c>
      <c r="K27" s="35" t="s">
        <v>56</v>
      </c>
      <c r="L27" s="35" t="s">
        <v>57</v>
      </c>
      <c r="M27" s="35"/>
      <c r="N27" s="35"/>
      <c r="O27" s="35"/>
      <c r="P27" s="135" t="s">
        <v>11</v>
      </c>
      <c r="Q27" s="226">
        <v>25</v>
      </c>
      <c r="R27" s="226">
        <v>271</v>
      </c>
      <c r="S27" s="226">
        <v>429</v>
      </c>
      <c r="T27" s="226">
        <v>375</v>
      </c>
      <c r="U27" s="226">
        <v>215</v>
      </c>
      <c r="V27" s="226">
        <v>60</v>
      </c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</row>
    <row r="28" spans="2:41" s="5" customFormat="1" ht="35.65" customHeight="1">
      <c r="B28" s="134" t="s">
        <v>12</v>
      </c>
      <c r="C28" s="36"/>
      <c r="D28" s="37" t="s">
        <v>205</v>
      </c>
      <c r="E28" s="38"/>
      <c r="F28" s="39"/>
      <c r="G28" s="39">
        <v>25</v>
      </c>
      <c r="H28" s="39">
        <v>271</v>
      </c>
      <c r="I28" s="39">
        <v>429</v>
      </c>
      <c r="J28" s="39">
        <v>375</v>
      </c>
      <c r="K28" s="39">
        <v>215</v>
      </c>
      <c r="L28" s="39">
        <v>60</v>
      </c>
      <c r="M28" s="39"/>
      <c r="N28" s="39"/>
      <c r="O28" s="39"/>
      <c r="P28" s="40">
        <f>SUM(G28:O28)</f>
        <v>1375</v>
      </c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</row>
    <row r="29" spans="2:41" s="5" customFormat="1" ht="35.65" customHeight="1">
      <c r="B29" s="134" t="s">
        <v>61</v>
      </c>
      <c r="C29" s="36"/>
      <c r="D29" s="38" t="str">
        <f>D28</f>
        <v xml:space="preserve">HYPER LILAC         </v>
      </c>
      <c r="E29" s="38"/>
      <c r="F29" s="39"/>
      <c r="G29" s="39">
        <f>ROUNDUP(G28*5%,0)</f>
        <v>2</v>
      </c>
      <c r="H29" s="39">
        <f t="shared" ref="H29:L29" si="6">ROUNDUP(H28*5%,0)</f>
        <v>14</v>
      </c>
      <c r="I29" s="39">
        <f>ROUNDUP(I28*5%,0)+1</f>
        <v>23</v>
      </c>
      <c r="J29" s="39">
        <f t="shared" si="6"/>
        <v>19</v>
      </c>
      <c r="K29" s="39">
        <f t="shared" si="6"/>
        <v>11</v>
      </c>
      <c r="L29" s="39">
        <f t="shared" si="6"/>
        <v>3</v>
      </c>
      <c r="M29" s="39"/>
      <c r="N29" s="39"/>
      <c r="O29" s="39"/>
      <c r="P29" s="40">
        <f>SUM(G29:O29)</f>
        <v>72</v>
      </c>
      <c r="R29" s="14"/>
      <c r="S29" s="203"/>
      <c r="T29" s="203"/>
      <c r="U29" s="203"/>
      <c r="V29" s="203"/>
      <c r="W29" s="203"/>
      <c r="X29" s="203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</row>
    <row r="30" spans="2:41" s="6" customFormat="1" ht="35.65" customHeight="1">
      <c r="B30" s="137" t="s">
        <v>13</v>
      </c>
      <c r="C30" s="137"/>
      <c r="D30" s="140" t="str">
        <f>D29</f>
        <v xml:space="preserve">HYPER LILAC         </v>
      </c>
      <c r="E30" s="138"/>
      <c r="F30" s="139"/>
      <c r="G30" s="139">
        <f>SUM(G28:G29)</f>
        <v>27</v>
      </c>
      <c r="H30" s="139">
        <f t="shared" ref="H30:L30" si="7">SUM(H28:H29)</f>
        <v>285</v>
      </c>
      <c r="I30" s="139">
        <f t="shared" si="7"/>
        <v>452</v>
      </c>
      <c r="J30" s="139">
        <f t="shared" si="7"/>
        <v>394</v>
      </c>
      <c r="K30" s="139">
        <f t="shared" si="7"/>
        <v>226</v>
      </c>
      <c r="L30" s="139">
        <f t="shared" si="7"/>
        <v>63</v>
      </c>
      <c r="M30" s="139"/>
      <c r="N30" s="139"/>
      <c r="O30" s="139"/>
      <c r="P30" s="139">
        <f t="shared" ref="P30" si="8">SUM(P28:P29)</f>
        <v>1447</v>
      </c>
      <c r="R30" s="17"/>
      <c r="S30" s="204"/>
      <c r="T30" s="206"/>
      <c r="U30" s="206"/>
      <c r="V30" s="206"/>
      <c r="W30" s="206"/>
      <c r="X30" s="206"/>
      <c r="Y30" s="206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</row>
    <row r="31" spans="2:41" s="5" customFormat="1" ht="34.5" customHeight="1">
      <c r="B31" s="12"/>
      <c r="C31" s="12"/>
      <c r="D31" s="12"/>
      <c r="E31" s="41"/>
      <c r="F31" s="41"/>
      <c r="G31" s="200"/>
      <c r="H31" s="200"/>
      <c r="I31" s="200"/>
      <c r="J31" s="200"/>
      <c r="K31" s="200"/>
      <c r="L31" s="201"/>
      <c r="M31" s="201"/>
      <c r="N31" s="34"/>
      <c r="O31" s="34"/>
      <c r="P31" s="202"/>
      <c r="R31" s="14"/>
      <c r="S31" s="205"/>
      <c r="T31" s="207"/>
      <c r="U31" s="207"/>
      <c r="V31" s="207"/>
      <c r="W31" s="207"/>
      <c r="X31" s="207"/>
      <c r="Y31" s="207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</row>
    <row r="32" spans="2:41" s="5" customFormat="1" ht="35.65" customHeight="1">
      <c r="B32" s="34"/>
      <c r="C32" s="133" t="s">
        <v>105</v>
      </c>
      <c r="D32" s="133" t="s">
        <v>9</v>
      </c>
      <c r="E32" s="35" t="s">
        <v>54</v>
      </c>
      <c r="F32" s="35"/>
      <c r="G32" s="35" t="s">
        <v>65</v>
      </c>
      <c r="H32" s="35" t="s">
        <v>58</v>
      </c>
      <c r="I32" s="35" t="s">
        <v>10</v>
      </c>
      <c r="J32" s="35" t="s">
        <v>55</v>
      </c>
      <c r="K32" s="35" t="s">
        <v>56</v>
      </c>
      <c r="L32" s="35" t="s">
        <v>57</v>
      </c>
      <c r="M32" s="35"/>
      <c r="N32" s="35"/>
      <c r="O32" s="35"/>
      <c r="P32" s="135" t="s">
        <v>11</v>
      </c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</row>
    <row r="33" spans="2:41" s="5" customFormat="1" ht="35.65" customHeight="1">
      <c r="B33" s="134" t="s">
        <v>12</v>
      </c>
      <c r="C33" s="36"/>
      <c r="D33" s="37" t="s">
        <v>197</v>
      </c>
      <c r="E33" s="38"/>
      <c r="F33" s="39"/>
      <c r="G33" s="39">
        <v>14</v>
      </c>
      <c r="H33" s="39">
        <v>148</v>
      </c>
      <c r="I33" s="39">
        <v>234</v>
      </c>
      <c r="J33" s="39">
        <v>205</v>
      </c>
      <c r="K33" s="39">
        <v>117</v>
      </c>
      <c r="L33" s="39">
        <v>32</v>
      </c>
      <c r="M33" s="39"/>
      <c r="N33" s="39"/>
      <c r="O33" s="39"/>
      <c r="P33" s="40">
        <f>SUM(G33:O33)</f>
        <v>750</v>
      </c>
      <c r="Q33" s="227">
        <v>14</v>
      </c>
      <c r="R33" s="227">
        <v>148</v>
      </c>
      <c r="S33" s="227">
        <v>234</v>
      </c>
      <c r="T33" s="227">
        <v>205</v>
      </c>
      <c r="U33" s="227">
        <v>117</v>
      </c>
      <c r="V33" s="227">
        <v>32</v>
      </c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</row>
    <row r="34" spans="2:41" s="5" customFormat="1" ht="35.65" customHeight="1">
      <c r="B34" s="134" t="s">
        <v>61</v>
      </c>
      <c r="C34" s="36"/>
      <c r="D34" s="38" t="str">
        <f>D33</f>
        <v>ATOMIC BLASTER</v>
      </c>
      <c r="E34" s="38"/>
      <c r="F34" s="39"/>
      <c r="G34" s="39">
        <f>ROUNDUP(G33*5%,0)</f>
        <v>1</v>
      </c>
      <c r="H34" s="39">
        <f t="shared" ref="H34:L34" si="9">ROUNDUP(H33*5%,0)</f>
        <v>8</v>
      </c>
      <c r="I34" s="39">
        <f>ROUNDUP(I33*5%,0)+1</f>
        <v>13</v>
      </c>
      <c r="J34" s="39">
        <f t="shared" si="9"/>
        <v>11</v>
      </c>
      <c r="K34" s="39">
        <f t="shared" si="9"/>
        <v>6</v>
      </c>
      <c r="L34" s="39">
        <f t="shared" si="9"/>
        <v>2</v>
      </c>
      <c r="M34" s="39"/>
      <c r="N34" s="39"/>
      <c r="O34" s="39"/>
      <c r="P34" s="40">
        <f>SUM(G34:O34)</f>
        <v>41</v>
      </c>
      <c r="R34" s="14"/>
      <c r="S34" s="203"/>
      <c r="T34" s="203"/>
      <c r="U34" s="203"/>
      <c r="V34" s="203"/>
      <c r="W34" s="203"/>
      <c r="X34" s="203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</row>
    <row r="35" spans="2:41" s="6" customFormat="1" ht="35.65" customHeight="1">
      <c r="B35" s="137" t="s">
        <v>13</v>
      </c>
      <c r="C35" s="137"/>
      <c r="D35" s="140" t="str">
        <f>D34</f>
        <v>ATOMIC BLASTER</v>
      </c>
      <c r="E35" s="138"/>
      <c r="F35" s="139"/>
      <c r="G35" s="139">
        <f>SUM(G33:G34)</f>
        <v>15</v>
      </c>
      <c r="H35" s="139">
        <f t="shared" ref="H35" si="10">SUM(H33:H34)</f>
        <v>156</v>
      </c>
      <c r="I35" s="139">
        <f t="shared" ref="I35" si="11">SUM(I33:I34)</f>
        <v>247</v>
      </c>
      <c r="J35" s="139">
        <f t="shared" ref="J35" si="12">SUM(J33:J34)</f>
        <v>216</v>
      </c>
      <c r="K35" s="139">
        <f t="shared" ref="K35" si="13">SUM(K33:K34)</f>
        <v>123</v>
      </c>
      <c r="L35" s="139">
        <f t="shared" ref="L35" si="14">SUM(L33:L34)</f>
        <v>34</v>
      </c>
      <c r="M35" s="139"/>
      <c r="N35" s="139"/>
      <c r="O35" s="139"/>
      <c r="P35" s="139">
        <f t="shared" ref="P35" si="15">SUM(P33:P34)</f>
        <v>791</v>
      </c>
      <c r="R35" s="17"/>
      <c r="S35" s="204"/>
      <c r="T35" s="206"/>
      <c r="U35" s="206"/>
      <c r="V35" s="206"/>
      <c r="W35" s="206"/>
      <c r="X35" s="206"/>
      <c r="Y35" s="206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</row>
    <row r="36" spans="2:41" s="5" customFormat="1" ht="34.5" customHeight="1">
      <c r="B36" s="12"/>
      <c r="C36" s="12"/>
      <c r="D36" s="12"/>
      <c r="E36" s="41"/>
      <c r="F36" s="41"/>
      <c r="G36" s="200"/>
      <c r="H36" s="200"/>
      <c r="I36" s="200"/>
      <c r="J36" s="200"/>
      <c r="K36" s="200"/>
      <c r="L36" s="201"/>
      <c r="M36" s="201"/>
      <c r="N36" s="34"/>
      <c r="O36" s="34"/>
      <c r="P36" s="202"/>
      <c r="R36" s="14"/>
      <c r="S36" s="205"/>
      <c r="T36" s="207"/>
      <c r="U36" s="207"/>
      <c r="V36" s="207"/>
      <c r="W36" s="207"/>
      <c r="X36" s="207"/>
      <c r="Y36" s="207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</row>
    <row r="37" spans="2:41" s="5" customFormat="1" ht="34.15" customHeight="1">
      <c r="B37" s="34"/>
      <c r="C37" s="133" t="s">
        <v>105</v>
      </c>
      <c r="D37" s="133" t="s">
        <v>9</v>
      </c>
      <c r="E37" s="35" t="s">
        <v>54</v>
      </c>
      <c r="F37" s="35"/>
      <c r="G37" s="35" t="s">
        <v>65</v>
      </c>
      <c r="H37" s="35" t="s">
        <v>58</v>
      </c>
      <c r="I37" s="35" t="s">
        <v>10</v>
      </c>
      <c r="J37" s="35" t="s">
        <v>55</v>
      </c>
      <c r="K37" s="35" t="s">
        <v>56</v>
      </c>
      <c r="L37" s="35" t="s">
        <v>57</v>
      </c>
      <c r="M37" s="35"/>
      <c r="N37" s="35"/>
      <c r="O37" s="35"/>
      <c r="P37" s="135" t="s">
        <v>11</v>
      </c>
      <c r="R37" s="14"/>
      <c r="S37" s="14"/>
      <c r="T37" s="208"/>
      <c r="U37" s="208"/>
      <c r="V37" s="208"/>
      <c r="W37" s="208"/>
      <c r="X37" s="208"/>
      <c r="Y37" s="208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</row>
    <row r="38" spans="2:41" s="5" customFormat="1" ht="34.15" customHeight="1">
      <c r="B38" s="134" t="s">
        <v>12</v>
      </c>
      <c r="C38" s="36"/>
      <c r="D38" s="37" t="s">
        <v>199</v>
      </c>
      <c r="E38" s="38"/>
      <c r="F38" s="39"/>
      <c r="G38" s="39">
        <v>14</v>
      </c>
      <c r="H38" s="39">
        <v>148</v>
      </c>
      <c r="I38" s="39">
        <v>234</v>
      </c>
      <c r="J38" s="39">
        <v>205</v>
      </c>
      <c r="K38" s="39">
        <v>117</v>
      </c>
      <c r="L38" s="39">
        <v>32</v>
      </c>
      <c r="M38" s="39"/>
      <c r="N38" s="39"/>
      <c r="O38" s="39"/>
      <c r="P38" s="40">
        <f>SUM(G38:O38)</f>
        <v>750</v>
      </c>
      <c r="Q38" s="226">
        <v>14</v>
      </c>
      <c r="R38" s="226">
        <v>148</v>
      </c>
      <c r="S38" s="226">
        <v>234</v>
      </c>
      <c r="T38" s="226">
        <v>205</v>
      </c>
      <c r="U38" s="226">
        <v>117</v>
      </c>
      <c r="V38" s="226">
        <v>32</v>
      </c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</row>
    <row r="39" spans="2:41" s="5" customFormat="1" ht="34.15" customHeight="1">
      <c r="B39" s="134" t="s">
        <v>61</v>
      </c>
      <c r="C39" s="36"/>
      <c r="D39" s="38" t="str">
        <f>D38</f>
        <v>ROCKET</v>
      </c>
      <c r="E39" s="38"/>
      <c r="F39" s="39"/>
      <c r="G39" s="39">
        <f>ROUNDUP(G38*5%,0)</f>
        <v>1</v>
      </c>
      <c r="H39" s="39">
        <f t="shared" ref="H39" si="16">ROUNDUP(H38*5%,0)</f>
        <v>8</v>
      </c>
      <c r="I39" s="39">
        <f>ROUNDUP(I38*5%,0)+1</f>
        <v>13</v>
      </c>
      <c r="J39" s="39">
        <f t="shared" ref="J39:L39" si="17">ROUNDUP(J38*5%,0)</f>
        <v>11</v>
      </c>
      <c r="K39" s="39">
        <f t="shared" si="17"/>
        <v>6</v>
      </c>
      <c r="L39" s="39">
        <f t="shared" si="17"/>
        <v>2</v>
      </c>
      <c r="M39" s="39"/>
      <c r="N39" s="39"/>
      <c r="O39" s="39"/>
      <c r="P39" s="40">
        <f>SUM(G39:O39)</f>
        <v>41</v>
      </c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</row>
    <row r="40" spans="2:41" s="6" customFormat="1" ht="34.15" customHeight="1">
      <c r="B40" s="137" t="s">
        <v>13</v>
      </c>
      <c r="C40" s="137"/>
      <c r="D40" s="140" t="str">
        <f>D39</f>
        <v>ROCKET</v>
      </c>
      <c r="E40" s="138"/>
      <c r="F40" s="139"/>
      <c r="G40" s="139">
        <f>SUM(G38:G39)</f>
        <v>15</v>
      </c>
      <c r="H40" s="139">
        <f t="shared" ref="H40:L40" si="18">SUM(H38:H39)</f>
        <v>156</v>
      </c>
      <c r="I40" s="139">
        <f t="shared" si="18"/>
        <v>247</v>
      </c>
      <c r="J40" s="139">
        <f t="shared" si="18"/>
        <v>216</v>
      </c>
      <c r="K40" s="139">
        <f t="shared" si="18"/>
        <v>123</v>
      </c>
      <c r="L40" s="139">
        <f t="shared" si="18"/>
        <v>34</v>
      </c>
      <c r="M40" s="139"/>
      <c r="N40" s="139"/>
      <c r="O40" s="139"/>
      <c r="P40" s="139">
        <f>SUM(P38:P39)</f>
        <v>791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2:41" s="5" customFormat="1" ht="34.15" customHeight="1">
      <c r="B41" s="12"/>
      <c r="C41" s="12"/>
      <c r="D41" s="12"/>
      <c r="E41" s="41"/>
      <c r="F41" s="41"/>
      <c r="G41" s="200"/>
      <c r="H41" s="200"/>
      <c r="I41" s="200"/>
      <c r="J41" s="200"/>
      <c r="K41" s="200"/>
      <c r="L41" s="201"/>
      <c r="M41" s="201"/>
      <c r="N41" s="34"/>
      <c r="O41" s="34"/>
      <c r="P41" s="202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</row>
    <row r="42" spans="2:41" s="5" customFormat="1" ht="34.15" customHeight="1">
      <c r="B42" s="34"/>
      <c r="C42" s="133" t="s">
        <v>105</v>
      </c>
      <c r="D42" s="133" t="s">
        <v>9</v>
      </c>
      <c r="E42" s="35" t="s">
        <v>54</v>
      </c>
      <c r="F42" s="35"/>
      <c r="G42" s="35" t="s">
        <v>65</v>
      </c>
      <c r="H42" s="35" t="s">
        <v>58</v>
      </c>
      <c r="I42" s="35" t="s">
        <v>10</v>
      </c>
      <c r="J42" s="35" t="s">
        <v>55</v>
      </c>
      <c r="K42" s="35" t="s">
        <v>56</v>
      </c>
      <c r="L42" s="35" t="s">
        <v>57</v>
      </c>
      <c r="M42" s="35"/>
      <c r="N42" s="35"/>
      <c r="O42" s="35"/>
      <c r="P42" s="135" t="s">
        <v>11</v>
      </c>
      <c r="R42" s="14"/>
      <c r="S42" s="14"/>
      <c r="T42" s="208"/>
      <c r="U42" s="208"/>
      <c r="V42" s="208"/>
      <c r="W42" s="208"/>
      <c r="X42" s="208"/>
      <c r="Y42" s="208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</row>
    <row r="43" spans="2:41" s="5" customFormat="1" ht="34.15" customHeight="1">
      <c r="B43" s="134" t="s">
        <v>12</v>
      </c>
      <c r="C43" s="36"/>
      <c r="D43" s="37" t="s">
        <v>198</v>
      </c>
      <c r="E43" s="38"/>
      <c r="F43" s="39"/>
      <c r="G43" s="39">
        <v>11</v>
      </c>
      <c r="H43" s="39">
        <v>123</v>
      </c>
      <c r="I43" s="39">
        <v>195</v>
      </c>
      <c r="J43" s="39">
        <v>171</v>
      </c>
      <c r="K43" s="39">
        <v>98</v>
      </c>
      <c r="L43" s="39">
        <v>27</v>
      </c>
      <c r="M43" s="39"/>
      <c r="N43" s="39"/>
      <c r="O43" s="39"/>
      <c r="P43" s="40">
        <f>SUM(G43:O43)</f>
        <v>625</v>
      </c>
      <c r="Q43" s="227">
        <v>11</v>
      </c>
      <c r="R43" s="227">
        <v>123</v>
      </c>
      <c r="S43" s="227">
        <v>195</v>
      </c>
      <c r="T43" s="227">
        <v>171</v>
      </c>
      <c r="U43" s="227">
        <v>98</v>
      </c>
      <c r="V43" s="227">
        <v>27</v>
      </c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</row>
    <row r="44" spans="2:41" s="5" customFormat="1" ht="34.15" customHeight="1">
      <c r="B44" s="134" t="s">
        <v>61</v>
      </c>
      <c r="C44" s="36"/>
      <c r="D44" s="38" t="str">
        <f>D43</f>
        <v>ALLOY</v>
      </c>
      <c r="E44" s="38"/>
      <c r="F44" s="39"/>
      <c r="G44" s="39">
        <f>ROUNDUP(G43*5%,0)</f>
        <v>1</v>
      </c>
      <c r="H44" s="39">
        <f t="shared" ref="H44:L44" si="19">ROUNDUP(H43*5%,0)</f>
        <v>7</v>
      </c>
      <c r="I44" s="39">
        <f>ROUNDUP(I43*5%,0)+1</f>
        <v>11</v>
      </c>
      <c r="J44" s="39">
        <f t="shared" si="19"/>
        <v>9</v>
      </c>
      <c r="K44" s="39">
        <f t="shared" si="19"/>
        <v>5</v>
      </c>
      <c r="L44" s="39">
        <f t="shared" si="19"/>
        <v>2</v>
      </c>
      <c r="M44" s="39"/>
      <c r="N44" s="39"/>
      <c r="O44" s="39"/>
      <c r="P44" s="40">
        <f>SUM(G44:O44)</f>
        <v>35</v>
      </c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</row>
    <row r="45" spans="2:41" s="6" customFormat="1" ht="34.15" customHeight="1">
      <c r="B45" s="137" t="s">
        <v>13</v>
      </c>
      <c r="C45" s="137"/>
      <c r="D45" s="140" t="str">
        <f>D44</f>
        <v>ALLOY</v>
      </c>
      <c r="E45" s="138"/>
      <c r="F45" s="139"/>
      <c r="G45" s="139">
        <f>SUM(G43:G44)</f>
        <v>12</v>
      </c>
      <c r="H45" s="139">
        <f t="shared" ref="H45:L45" si="20">SUM(H43:H44)</f>
        <v>130</v>
      </c>
      <c r="I45" s="139">
        <f t="shared" si="20"/>
        <v>206</v>
      </c>
      <c r="J45" s="139">
        <f t="shared" si="20"/>
        <v>180</v>
      </c>
      <c r="K45" s="139">
        <f t="shared" si="20"/>
        <v>103</v>
      </c>
      <c r="L45" s="139">
        <f t="shared" si="20"/>
        <v>29</v>
      </c>
      <c r="M45" s="139"/>
      <c r="N45" s="139"/>
      <c r="O45" s="139"/>
      <c r="P45" s="139">
        <f>SUM(P43:P44)</f>
        <v>660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</row>
    <row r="46" spans="2:41" s="5" customFormat="1" ht="34.15" customHeight="1">
      <c r="B46" s="12"/>
      <c r="C46" s="12"/>
      <c r="D46" s="12"/>
      <c r="E46" s="41"/>
      <c r="F46" s="41"/>
      <c r="G46" s="200"/>
      <c r="H46" s="200"/>
      <c r="I46" s="200"/>
      <c r="J46" s="200"/>
      <c r="K46" s="200"/>
      <c r="L46" s="201"/>
      <c r="M46" s="201"/>
      <c r="N46" s="34"/>
      <c r="O46" s="34"/>
      <c r="P46" s="202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</row>
    <row r="47" spans="2:41" s="5" customFormat="1" ht="34.15" customHeight="1">
      <c r="B47" s="34"/>
      <c r="C47" s="133" t="s">
        <v>105</v>
      </c>
      <c r="D47" s="133" t="s">
        <v>9</v>
      </c>
      <c r="E47" s="35" t="s">
        <v>54</v>
      </c>
      <c r="F47" s="35"/>
      <c r="G47" s="35" t="s">
        <v>65</v>
      </c>
      <c r="H47" s="35" t="s">
        <v>58</v>
      </c>
      <c r="I47" s="35" t="s">
        <v>10</v>
      </c>
      <c r="J47" s="35" t="s">
        <v>55</v>
      </c>
      <c r="K47" s="35" t="s">
        <v>56</v>
      </c>
      <c r="L47" s="35" t="s">
        <v>57</v>
      </c>
      <c r="M47" s="35"/>
      <c r="N47" s="35"/>
      <c r="O47" s="35"/>
      <c r="P47" s="135" t="s">
        <v>11</v>
      </c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</row>
    <row r="48" spans="2:41" s="5" customFormat="1" ht="34.15" customHeight="1">
      <c r="B48" s="134" t="s">
        <v>12</v>
      </c>
      <c r="C48" s="36"/>
      <c r="D48" s="37" t="s">
        <v>206</v>
      </c>
      <c r="E48" s="38"/>
      <c r="F48" s="39"/>
      <c r="G48" s="39">
        <v>11</v>
      </c>
      <c r="H48" s="39">
        <v>123</v>
      </c>
      <c r="I48" s="39">
        <v>195</v>
      </c>
      <c r="J48" s="39">
        <v>171</v>
      </c>
      <c r="K48" s="39">
        <v>98</v>
      </c>
      <c r="L48" s="39">
        <v>27</v>
      </c>
      <c r="M48" s="39"/>
      <c r="N48" s="39"/>
      <c r="O48" s="39"/>
      <c r="P48" s="40">
        <f>SUM(G48:O48)</f>
        <v>625</v>
      </c>
      <c r="Q48" s="226">
        <v>11</v>
      </c>
      <c r="R48" s="226">
        <v>123</v>
      </c>
      <c r="S48" s="226">
        <v>195</v>
      </c>
      <c r="T48" s="226">
        <v>171</v>
      </c>
      <c r="U48" s="226">
        <v>98</v>
      </c>
      <c r="V48" s="226">
        <v>27</v>
      </c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</row>
    <row r="49" spans="2:41" s="5" customFormat="1" ht="34.15" customHeight="1">
      <c r="B49" s="134" t="s">
        <v>61</v>
      </c>
      <c r="C49" s="36"/>
      <c r="D49" s="38" t="str">
        <f>D48</f>
        <v xml:space="preserve">OPTIC WHITE         </v>
      </c>
      <c r="E49" s="38"/>
      <c r="F49" s="39"/>
      <c r="G49" s="39">
        <f>ROUNDUP(G48*5%,0)</f>
        <v>1</v>
      </c>
      <c r="H49" s="39">
        <f t="shared" ref="H49:L49" si="21">ROUNDUP(H48*5%,0)</f>
        <v>7</v>
      </c>
      <c r="I49" s="39">
        <f>ROUNDUP(I48*5%,0)+1</f>
        <v>11</v>
      </c>
      <c r="J49" s="39">
        <f t="shared" si="21"/>
        <v>9</v>
      </c>
      <c r="K49" s="39">
        <f t="shared" si="21"/>
        <v>5</v>
      </c>
      <c r="L49" s="39">
        <f t="shared" si="21"/>
        <v>2</v>
      </c>
      <c r="M49" s="39"/>
      <c r="N49" s="39"/>
      <c r="O49" s="39"/>
      <c r="P49" s="40">
        <f>SUM(G49:O49)</f>
        <v>35</v>
      </c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</row>
    <row r="50" spans="2:41" s="6" customFormat="1" ht="34.15" customHeight="1">
      <c r="B50" s="137" t="s">
        <v>13</v>
      </c>
      <c r="C50" s="137"/>
      <c r="D50" s="140" t="str">
        <f>D49</f>
        <v xml:space="preserve">OPTIC WHITE         </v>
      </c>
      <c r="E50" s="138"/>
      <c r="F50" s="139"/>
      <c r="G50" s="139">
        <f>SUM(G48:G49)</f>
        <v>12</v>
      </c>
      <c r="H50" s="139">
        <f t="shared" ref="H50:L50" si="22">SUM(H48:H49)</f>
        <v>130</v>
      </c>
      <c r="I50" s="139">
        <f t="shared" si="22"/>
        <v>206</v>
      </c>
      <c r="J50" s="139">
        <f t="shared" si="22"/>
        <v>180</v>
      </c>
      <c r="K50" s="139">
        <f t="shared" si="22"/>
        <v>103</v>
      </c>
      <c r="L50" s="139">
        <f t="shared" si="22"/>
        <v>29</v>
      </c>
      <c r="M50" s="139"/>
      <c r="N50" s="139"/>
      <c r="O50" s="139"/>
      <c r="P50" s="139">
        <f>SUM(P48:P49)</f>
        <v>660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</row>
    <row r="51" spans="2:41" s="5" customFormat="1" ht="34.5" hidden="1" customHeight="1">
      <c r="B51" s="12"/>
      <c r="C51" s="12"/>
      <c r="D51" s="12"/>
      <c r="E51" s="41"/>
      <c r="F51" s="41"/>
      <c r="G51" s="200"/>
      <c r="H51" s="200"/>
      <c r="I51" s="200"/>
      <c r="J51" s="200"/>
      <c r="K51" s="200"/>
      <c r="L51" s="201"/>
      <c r="M51" s="201"/>
      <c r="N51" s="34"/>
      <c r="O51" s="34"/>
      <c r="P51" s="202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</row>
    <row r="52" spans="2:41" s="5" customFormat="1" ht="35.65" hidden="1" customHeight="1">
      <c r="B52" s="34"/>
      <c r="C52" s="133" t="s">
        <v>105</v>
      </c>
      <c r="D52" s="133" t="s">
        <v>9</v>
      </c>
      <c r="E52" s="35" t="s">
        <v>54</v>
      </c>
      <c r="F52" s="35"/>
      <c r="G52" s="35" t="s">
        <v>65</v>
      </c>
      <c r="H52" s="35" t="s">
        <v>58</v>
      </c>
      <c r="I52" s="35" t="s">
        <v>10</v>
      </c>
      <c r="J52" s="35" t="s">
        <v>55</v>
      </c>
      <c r="K52" s="35" t="s">
        <v>56</v>
      </c>
      <c r="L52" s="35" t="s">
        <v>57</v>
      </c>
      <c r="M52" s="35"/>
      <c r="N52" s="35"/>
      <c r="O52" s="35"/>
      <c r="P52" s="135" t="s">
        <v>11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</row>
    <row r="53" spans="2:41" s="5" customFormat="1" ht="35.65" hidden="1" customHeight="1">
      <c r="B53" s="134" t="s">
        <v>12</v>
      </c>
      <c r="C53" s="36"/>
      <c r="D53" s="37" t="s">
        <v>157</v>
      </c>
      <c r="E53" s="38"/>
      <c r="F53" s="39"/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/>
      <c r="N53" s="39"/>
      <c r="O53" s="39"/>
      <c r="P53" s="40">
        <f>SUM(G53:O53)</f>
        <v>0</v>
      </c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</row>
    <row r="54" spans="2:41" s="5" customFormat="1" ht="35.65" hidden="1" customHeight="1">
      <c r="B54" s="134" t="s">
        <v>61</v>
      </c>
      <c r="C54" s="36"/>
      <c r="D54" s="38" t="s">
        <v>157</v>
      </c>
      <c r="E54" s="38"/>
      <c r="F54" s="39"/>
      <c r="G54" s="39">
        <f>ROUNDUP(G53*5%,0)</f>
        <v>0</v>
      </c>
      <c r="H54" s="39">
        <f t="shared" ref="H54:L54" si="23">ROUNDUP(H53*5%,0)</f>
        <v>0</v>
      </c>
      <c r="I54" s="39">
        <f t="shared" si="23"/>
        <v>0</v>
      </c>
      <c r="J54" s="39">
        <f t="shared" si="23"/>
        <v>0</v>
      </c>
      <c r="K54" s="39">
        <f t="shared" si="23"/>
        <v>0</v>
      </c>
      <c r="L54" s="39">
        <f t="shared" si="23"/>
        <v>0</v>
      </c>
      <c r="M54" s="39"/>
      <c r="N54" s="39"/>
      <c r="O54" s="39"/>
      <c r="P54" s="40">
        <f>SUM(G54:O54)</f>
        <v>0</v>
      </c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</row>
    <row r="55" spans="2:41" s="6" customFormat="1" ht="35.65" hidden="1" customHeight="1">
      <c r="B55" s="137" t="s">
        <v>13</v>
      </c>
      <c r="C55" s="137"/>
      <c r="D55" s="140" t="s">
        <v>157</v>
      </c>
      <c r="E55" s="138"/>
      <c r="F55" s="139"/>
      <c r="G55" s="139">
        <f>SUM(G53:G54)</f>
        <v>0</v>
      </c>
      <c r="H55" s="139">
        <f t="shared" ref="H55" si="24">SUM(H53:H54)</f>
        <v>0</v>
      </c>
      <c r="I55" s="139">
        <f t="shared" ref="I55" si="25">SUM(I53:I54)</f>
        <v>0</v>
      </c>
      <c r="J55" s="139">
        <f t="shared" ref="J55" si="26">SUM(J53:J54)</f>
        <v>0</v>
      </c>
      <c r="K55" s="139">
        <f t="shared" ref="K55" si="27">SUM(K53:K54)</f>
        <v>0</v>
      </c>
      <c r="L55" s="139">
        <f t="shared" ref="L55" si="28">SUM(L53:L54)</f>
        <v>0</v>
      </c>
      <c r="M55" s="139"/>
      <c r="N55" s="139"/>
      <c r="O55" s="139"/>
      <c r="P55" s="139">
        <f>SUM(P53:P54)</f>
        <v>0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</row>
    <row r="56" spans="2:41" s="5" customFormat="1" ht="34.5" hidden="1" customHeight="1">
      <c r="B56" s="12"/>
      <c r="C56" s="12"/>
      <c r="D56" s="12"/>
      <c r="E56" s="41"/>
      <c r="F56" s="41"/>
      <c r="G56" s="200"/>
      <c r="H56" s="200"/>
      <c r="I56" s="200"/>
      <c r="J56" s="200"/>
      <c r="K56" s="200"/>
      <c r="L56" s="201"/>
      <c r="M56" s="201"/>
      <c r="N56" s="34"/>
      <c r="O56" s="34"/>
      <c r="P56" s="202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</row>
    <row r="57" spans="2:41" s="5" customFormat="1" ht="35.65" hidden="1" customHeight="1">
      <c r="B57" s="34"/>
      <c r="C57" s="133" t="s">
        <v>105</v>
      </c>
      <c r="D57" s="133" t="s">
        <v>9</v>
      </c>
      <c r="E57" s="35" t="s">
        <v>54</v>
      </c>
      <c r="F57" s="35"/>
      <c r="G57" s="35" t="s">
        <v>65</v>
      </c>
      <c r="H57" s="35" t="s">
        <v>58</v>
      </c>
      <c r="I57" s="35" t="s">
        <v>10</v>
      </c>
      <c r="J57" s="35" t="s">
        <v>55</v>
      </c>
      <c r="K57" s="35" t="s">
        <v>56</v>
      </c>
      <c r="L57" s="35" t="s">
        <v>57</v>
      </c>
      <c r="M57" s="35"/>
      <c r="N57" s="35"/>
      <c r="O57" s="35"/>
      <c r="P57" s="135" t="s">
        <v>11</v>
      </c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</row>
    <row r="58" spans="2:41" s="5" customFormat="1" ht="35.65" hidden="1" customHeight="1">
      <c r="B58" s="134" t="s">
        <v>12</v>
      </c>
      <c r="C58" s="36"/>
      <c r="D58" s="37" t="s">
        <v>158</v>
      </c>
      <c r="E58" s="38"/>
      <c r="F58" s="39"/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/>
      <c r="N58" s="39"/>
      <c r="O58" s="39"/>
      <c r="P58" s="40">
        <f>SUM(G58:O58)</f>
        <v>0</v>
      </c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</row>
    <row r="59" spans="2:41" s="5" customFormat="1" ht="35.65" hidden="1" customHeight="1">
      <c r="B59" s="134" t="s">
        <v>61</v>
      </c>
      <c r="C59" s="36"/>
      <c r="D59" s="38" t="s">
        <v>158</v>
      </c>
      <c r="E59" s="38"/>
      <c r="F59" s="39"/>
      <c r="G59" s="39">
        <f>ROUNDUP(G58*5%,0)</f>
        <v>0</v>
      </c>
      <c r="H59" s="39">
        <f t="shared" ref="H59" si="29">ROUNDUP(H58*5%,0)</f>
        <v>0</v>
      </c>
      <c r="I59" s="39">
        <f t="shared" ref="I59" si="30">ROUNDUP(I58*5%,0)</f>
        <v>0</v>
      </c>
      <c r="J59" s="39">
        <f t="shared" ref="J59" si="31">ROUNDUP(J58*5%,0)</f>
        <v>0</v>
      </c>
      <c r="K59" s="39">
        <f t="shared" ref="K59" si="32">ROUNDUP(K58*5%,0)</f>
        <v>0</v>
      </c>
      <c r="L59" s="39">
        <f t="shared" ref="L59" si="33">ROUNDUP(L58*5%,0)</f>
        <v>0</v>
      </c>
      <c r="M59" s="39"/>
      <c r="N59" s="39"/>
      <c r="O59" s="39"/>
      <c r="P59" s="40">
        <f>SUM(G59:O59)</f>
        <v>0</v>
      </c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</row>
    <row r="60" spans="2:41" s="6" customFormat="1" ht="35.65" hidden="1" customHeight="1">
      <c r="B60" s="137" t="s">
        <v>13</v>
      </c>
      <c r="C60" s="137"/>
      <c r="D60" s="140" t="s">
        <v>158</v>
      </c>
      <c r="E60" s="138"/>
      <c r="F60" s="139"/>
      <c r="G60" s="139">
        <f>SUM(G58:G59)</f>
        <v>0</v>
      </c>
      <c r="H60" s="139">
        <f t="shared" ref="H60" si="34">SUM(H58:H59)</f>
        <v>0</v>
      </c>
      <c r="I60" s="139">
        <f t="shared" ref="I60" si="35">SUM(I58:I59)</f>
        <v>0</v>
      </c>
      <c r="J60" s="139">
        <f t="shared" ref="J60" si="36">SUM(J58:J59)</f>
        <v>0</v>
      </c>
      <c r="K60" s="139">
        <f t="shared" ref="K60" si="37">SUM(K58:K59)</f>
        <v>0</v>
      </c>
      <c r="L60" s="139">
        <f t="shared" ref="L60" si="38">SUM(L58:L59)</f>
        <v>0</v>
      </c>
      <c r="M60" s="139"/>
      <c r="N60" s="139"/>
      <c r="O60" s="139"/>
      <c r="P60" s="139">
        <f>SUM(P58:P59)</f>
        <v>0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</row>
    <row r="61" spans="2:41" s="5" customFormat="1" ht="34.5" hidden="1" customHeight="1">
      <c r="B61" s="12"/>
      <c r="C61" s="12"/>
      <c r="D61" s="12"/>
      <c r="E61" s="41"/>
      <c r="F61" s="41"/>
      <c r="G61" s="200"/>
      <c r="H61" s="200"/>
      <c r="I61" s="200"/>
      <c r="J61" s="200"/>
      <c r="K61" s="200"/>
      <c r="L61" s="201"/>
      <c r="M61" s="201"/>
      <c r="N61" s="34"/>
      <c r="O61" s="34"/>
      <c r="P61" s="202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</row>
    <row r="62" spans="2:41" s="5" customFormat="1" ht="35.65" hidden="1" customHeight="1">
      <c r="B62" s="34"/>
      <c r="C62" s="133" t="s">
        <v>105</v>
      </c>
      <c r="D62" s="133" t="s">
        <v>9</v>
      </c>
      <c r="E62" s="35" t="s">
        <v>54</v>
      </c>
      <c r="F62" s="35"/>
      <c r="G62" s="35" t="s">
        <v>65</v>
      </c>
      <c r="H62" s="35" t="s">
        <v>58</v>
      </c>
      <c r="I62" s="35" t="s">
        <v>10</v>
      </c>
      <c r="J62" s="35" t="s">
        <v>55</v>
      </c>
      <c r="K62" s="35" t="s">
        <v>56</v>
      </c>
      <c r="L62" s="35" t="s">
        <v>57</v>
      </c>
      <c r="M62" s="35"/>
      <c r="N62" s="35"/>
      <c r="O62" s="35"/>
      <c r="P62" s="135" t="s">
        <v>11</v>
      </c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</row>
    <row r="63" spans="2:41" s="5" customFormat="1" ht="35.65" hidden="1" customHeight="1">
      <c r="B63" s="134" t="s">
        <v>12</v>
      </c>
      <c r="C63" s="36"/>
      <c r="D63" s="37" t="s">
        <v>174</v>
      </c>
      <c r="E63" s="38"/>
      <c r="F63" s="39"/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/>
      <c r="N63" s="39"/>
      <c r="O63" s="39"/>
      <c r="P63" s="40">
        <f>SUM(G63:O63)</f>
        <v>0</v>
      </c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</row>
    <row r="64" spans="2:41" s="5" customFormat="1" ht="35.65" hidden="1" customHeight="1">
      <c r="B64" s="134" t="s">
        <v>61</v>
      </c>
      <c r="C64" s="36"/>
      <c r="D64" s="38" t="s">
        <v>174</v>
      </c>
      <c r="E64" s="38"/>
      <c r="F64" s="39"/>
      <c r="G64" s="39">
        <f>ROUNDUP(G63*5%,0)</f>
        <v>0</v>
      </c>
      <c r="H64" s="39">
        <f t="shared" ref="H64:L64" si="39">ROUNDUP(H63*5%,0)</f>
        <v>0</v>
      </c>
      <c r="I64" s="39">
        <f t="shared" si="39"/>
        <v>0</v>
      </c>
      <c r="J64" s="39">
        <f t="shared" si="39"/>
        <v>0</v>
      </c>
      <c r="K64" s="39">
        <f t="shared" si="39"/>
        <v>0</v>
      </c>
      <c r="L64" s="39">
        <f t="shared" si="39"/>
        <v>0</v>
      </c>
      <c r="M64" s="39"/>
      <c r="N64" s="39"/>
      <c r="O64" s="39"/>
      <c r="P64" s="40">
        <f>SUM(G64:O64)</f>
        <v>0</v>
      </c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</row>
    <row r="65" spans="1:41" s="6" customFormat="1" ht="35.65" hidden="1" customHeight="1">
      <c r="B65" s="137" t="s">
        <v>13</v>
      </c>
      <c r="C65" s="137"/>
      <c r="D65" s="140" t="s">
        <v>174</v>
      </c>
      <c r="E65" s="138"/>
      <c r="F65" s="139"/>
      <c r="G65" s="139">
        <f>SUM(G63:G64)</f>
        <v>0</v>
      </c>
      <c r="H65" s="139">
        <f t="shared" ref="H65:L65" si="40">SUM(H63:H64)</f>
        <v>0</v>
      </c>
      <c r="I65" s="139">
        <f t="shared" si="40"/>
        <v>0</v>
      </c>
      <c r="J65" s="139">
        <f t="shared" si="40"/>
        <v>0</v>
      </c>
      <c r="K65" s="139">
        <f t="shared" si="40"/>
        <v>0</v>
      </c>
      <c r="L65" s="139">
        <f t="shared" si="40"/>
        <v>0</v>
      </c>
      <c r="M65" s="139"/>
      <c r="N65" s="139"/>
      <c r="O65" s="139"/>
      <c r="P65" s="139">
        <f>SUM(P63:P64)</f>
        <v>0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</row>
    <row r="66" spans="1:41" s="5" customFormat="1" ht="34.5" customHeight="1">
      <c r="B66" s="12"/>
      <c r="C66" s="12"/>
      <c r="D66" s="12"/>
      <c r="E66" s="41"/>
      <c r="F66" s="41"/>
      <c r="G66" s="199"/>
      <c r="H66" s="200"/>
      <c r="I66" s="200"/>
      <c r="J66" s="200"/>
      <c r="K66" s="200"/>
      <c r="L66" s="200"/>
      <c r="M66" s="201"/>
      <c r="N66" s="34"/>
      <c r="O66" s="34"/>
      <c r="P66" s="202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</row>
    <row r="67" spans="1:41" s="42" customFormat="1" ht="42.75" customHeight="1">
      <c r="B67" s="125" t="s">
        <v>14</v>
      </c>
      <c r="C67" s="126"/>
      <c r="D67" s="125"/>
      <c r="E67" s="127"/>
      <c r="F67" s="128"/>
      <c r="G67" s="128">
        <f>SUM(G20,G35,G45,G50,G55,G60,G65+G25+G30+G40)</f>
        <v>120</v>
      </c>
      <c r="H67" s="128">
        <f t="shared" ref="H67:L67" si="41">SUM(H20,H35,H45,H50,H55,H60,H65+H25+H30+H40)</f>
        <v>1272</v>
      </c>
      <c r="I67" s="128">
        <f t="shared" si="41"/>
        <v>2016</v>
      </c>
      <c r="J67" s="128">
        <f t="shared" si="41"/>
        <v>1760</v>
      </c>
      <c r="K67" s="128">
        <f t="shared" si="41"/>
        <v>1007</v>
      </c>
      <c r="L67" s="128">
        <f t="shared" si="41"/>
        <v>281</v>
      </c>
      <c r="M67" s="128"/>
      <c r="N67" s="128"/>
      <c r="O67" s="128"/>
      <c r="P67" s="128">
        <f t="shared" ref="P67" si="42">SUM(P20,P35,P45,P50,P55,P60,P65+P25+P30+P40)</f>
        <v>6456</v>
      </c>
      <c r="Q67" s="42">
        <f>SUM(Q1:Q66)</f>
        <v>111</v>
      </c>
      <c r="R67" s="42">
        <f t="shared" ref="R67:V67" si="43">SUM(R1:R66)</f>
        <v>1207</v>
      </c>
      <c r="S67" s="42">
        <f t="shared" si="43"/>
        <v>1911</v>
      </c>
      <c r="T67" s="42">
        <f t="shared" si="43"/>
        <v>1673</v>
      </c>
      <c r="U67" s="42">
        <f t="shared" si="43"/>
        <v>958</v>
      </c>
      <c r="V67" s="42">
        <f t="shared" si="43"/>
        <v>265</v>
      </c>
      <c r="W67" s="17">
        <f>SUM(Q67:V67)</f>
        <v>6125</v>
      </c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</row>
    <row r="68" spans="1:41" s="43" customFormat="1" ht="20.25" customHeight="1">
      <c r="B68" s="44"/>
      <c r="C68" s="44"/>
      <c r="D68" s="45"/>
      <c r="E68" s="46"/>
      <c r="F68" s="47"/>
      <c r="G68" s="48"/>
      <c r="H68" s="49"/>
      <c r="I68" s="49"/>
      <c r="J68" s="49"/>
      <c r="K68" s="49"/>
      <c r="L68" s="50"/>
      <c r="M68" s="51"/>
      <c r="N68" s="47"/>
      <c r="O68" s="47"/>
      <c r="P68" s="4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</row>
    <row r="69" spans="1:41" s="4" customFormat="1" ht="40.5" customHeight="1" thickBot="1">
      <c r="B69" s="129" t="s">
        <v>15</v>
      </c>
      <c r="C69" s="52"/>
      <c r="D69" s="52"/>
      <c r="E69" s="52"/>
      <c r="F69" s="53"/>
      <c r="G69" s="54"/>
      <c r="H69" s="53"/>
      <c r="I69" s="53"/>
      <c r="J69" s="53"/>
      <c r="K69" s="53"/>
      <c r="L69" s="53"/>
      <c r="N69" s="55"/>
      <c r="O69" s="55"/>
      <c r="P69" s="56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</row>
    <row r="70" spans="1:41" s="57" customFormat="1" ht="120" customHeight="1" thickBot="1">
      <c r="A70" s="368" t="s">
        <v>16</v>
      </c>
      <c r="B70" s="369"/>
      <c r="C70" s="369"/>
      <c r="D70" s="119" t="s">
        <v>17</v>
      </c>
      <c r="E70" s="120" t="s">
        <v>18</v>
      </c>
      <c r="F70" s="119" t="s">
        <v>19</v>
      </c>
      <c r="G70" s="121" t="s">
        <v>20</v>
      </c>
      <c r="H70" s="121" t="s">
        <v>21</v>
      </c>
      <c r="I70" s="121" t="s">
        <v>34</v>
      </c>
      <c r="J70" s="121" t="s">
        <v>35</v>
      </c>
      <c r="K70" s="121" t="s">
        <v>37</v>
      </c>
      <c r="L70" s="121" t="s">
        <v>36</v>
      </c>
      <c r="M70" s="370" t="s">
        <v>50</v>
      </c>
      <c r="N70" s="371"/>
      <c r="O70" s="371"/>
      <c r="P70" s="372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</row>
    <row r="71" spans="1:41" s="14" customFormat="1" ht="46.15" customHeight="1">
      <c r="A71" s="315" t="str">
        <f>D18</f>
        <v>DARKEST BLACK</v>
      </c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7"/>
    </row>
    <row r="72" spans="1:41" s="14" customFormat="1" ht="97.5" customHeight="1">
      <c r="A72" s="194">
        <v>1</v>
      </c>
      <c r="B72" s="318" t="str">
        <f>L11</f>
        <v>FRENCH TERRY 100% ORGANIC COTTON 430GSM</v>
      </c>
      <c r="C72" s="318"/>
      <c r="D72" s="142" t="s">
        <v>49</v>
      </c>
      <c r="E72" s="142" t="str">
        <f>A71</f>
        <v>DARKEST BLACK</v>
      </c>
      <c r="F72" s="157" t="s">
        <v>10</v>
      </c>
      <c r="G72" s="173">
        <f>P20</f>
        <v>1447</v>
      </c>
      <c r="H72" s="174">
        <v>1.425</v>
      </c>
      <c r="I72" s="175">
        <f>G72*H72</f>
        <v>2061.9749999999999</v>
      </c>
      <c r="J72" s="221">
        <f>I72*3.9%+(I72/25)*0.5</f>
        <v>121.65652499999999</v>
      </c>
      <c r="K72" s="173">
        <v>0</v>
      </c>
      <c r="L72" s="195">
        <f>ROUNDUP(SUM(I72:K72),0)</f>
        <v>2184</v>
      </c>
      <c r="M72" s="319"/>
      <c r="N72" s="320"/>
      <c r="O72" s="320"/>
      <c r="P72" s="320"/>
    </row>
    <row r="73" spans="1:41" s="14" customFormat="1" ht="97.5" customHeight="1">
      <c r="A73" s="194">
        <v>2</v>
      </c>
      <c r="B73" s="318" t="s">
        <v>118</v>
      </c>
      <c r="C73" s="318"/>
      <c r="D73" s="142" t="s">
        <v>119</v>
      </c>
      <c r="E73" s="142" t="str">
        <f>E72</f>
        <v>DARKEST BLACK</v>
      </c>
      <c r="F73" s="157" t="s">
        <v>10</v>
      </c>
      <c r="G73" s="173">
        <f>G72</f>
        <v>1447</v>
      </c>
      <c r="H73" s="174">
        <v>0.02</v>
      </c>
      <c r="I73" s="175">
        <f>G73*H73</f>
        <v>28.94</v>
      </c>
      <c r="J73" s="221">
        <f>I73*1.8%+(I73/20)*0.5</f>
        <v>1.2444200000000001</v>
      </c>
      <c r="K73" s="223">
        <v>0</v>
      </c>
      <c r="L73" s="195">
        <f>ROUNDUP(SUM(I73:K73),0)</f>
        <v>31</v>
      </c>
      <c r="M73" s="373"/>
      <c r="N73" s="344"/>
      <c r="O73" s="344"/>
      <c r="P73" s="344"/>
    </row>
    <row r="74" spans="1:41" s="14" customFormat="1" ht="97.5" customHeight="1">
      <c r="A74" s="194">
        <v>3</v>
      </c>
      <c r="B74" s="318" t="s">
        <v>173</v>
      </c>
      <c r="C74" s="318"/>
      <c r="D74" s="142" t="s">
        <v>172</v>
      </c>
      <c r="E74" s="142" t="str">
        <f>E72</f>
        <v>DARKEST BLACK</v>
      </c>
      <c r="F74" s="157" t="s">
        <v>10</v>
      </c>
      <c r="G74" s="173">
        <f>G72</f>
        <v>1447</v>
      </c>
      <c r="H74" s="174">
        <v>0.13500000000000001</v>
      </c>
      <c r="I74" s="175">
        <f>G74*H74</f>
        <v>195.345</v>
      </c>
      <c r="J74" s="221">
        <f>I74*2.8%+(I74/20)*0.5</f>
        <v>10.353285</v>
      </c>
      <c r="K74" s="173">
        <v>0</v>
      </c>
      <c r="L74" s="195">
        <f>ROUNDUP(SUM(I74:K74),0)</f>
        <v>206</v>
      </c>
      <c r="M74" s="319"/>
      <c r="N74" s="320"/>
      <c r="O74" s="320"/>
      <c r="P74" s="320"/>
    </row>
    <row r="75" spans="1:41" s="14" customFormat="1" ht="46.15" customHeight="1">
      <c r="A75" s="320" t="str">
        <f>D23</f>
        <v>CANOPY</v>
      </c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</row>
    <row r="76" spans="1:41" s="14" customFormat="1" ht="98.65" customHeight="1">
      <c r="A76" s="194">
        <v>1</v>
      </c>
      <c r="B76" s="318" t="str">
        <f>L11</f>
        <v>FRENCH TERRY 100% ORGANIC COTTON 430GSM</v>
      </c>
      <c r="C76" s="318"/>
      <c r="D76" s="142" t="s">
        <v>49</v>
      </c>
      <c r="E76" s="142" t="str">
        <f>A75</f>
        <v>CANOPY</v>
      </c>
      <c r="F76" s="157" t="s">
        <v>10</v>
      </c>
      <c r="G76" s="173">
        <f>P25</f>
        <v>660</v>
      </c>
      <c r="H76" s="174">
        <v>1.425</v>
      </c>
      <c r="I76" s="175">
        <f>G76*H76</f>
        <v>940.5</v>
      </c>
      <c r="J76" s="221">
        <f>I76*2.3%+(I76/20)*0.5</f>
        <v>45.143999999999998</v>
      </c>
      <c r="K76" s="173">
        <v>0</v>
      </c>
      <c r="L76" s="195">
        <f>ROUNDUP(SUM(I76:K76),0)</f>
        <v>986</v>
      </c>
      <c r="M76" s="319"/>
      <c r="N76" s="320"/>
      <c r="O76" s="320"/>
      <c r="P76" s="320"/>
    </row>
    <row r="77" spans="1:41" s="14" customFormat="1" ht="98.65" customHeight="1">
      <c r="A77" s="194">
        <v>2</v>
      </c>
      <c r="B77" s="318" t="s">
        <v>118</v>
      </c>
      <c r="C77" s="318"/>
      <c r="D77" s="142" t="s">
        <v>119</v>
      </c>
      <c r="E77" s="142" t="str">
        <f>E76</f>
        <v>CANOPY</v>
      </c>
      <c r="F77" s="157" t="s">
        <v>10</v>
      </c>
      <c r="G77" s="173">
        <f>G76</f>
        <v>660</v>
      </c>
      <c r="H77" s="174">
        <v>0.02</v>
      </c>
      <c r="I77" s="175">
        <f>G77*H77</f>
        <v>13.200000000000001</v>
      </c>
      <c r="J77" s="221">
        <f>I77*3.8%+(I77/50)*0.5</f>
        <v>0.63360000000000005</v>
      </c>
      <c r="K77" s="173">
        <v>0</v>
      </c>
      <c r="L77" s="195">
        <f>ROUNDUP(SUM(I77:K77),0)</f>
        <v>14</v>
      </c>
      <c r="M77" s="319"/>
      <c r="N77" s="320"/>
      <c r="O77" s="320"/>
      <c r="P77" s="320"/>
    </row>
    <row r="78" spans="1:41" s="14" customFormat="1" ht="98.65" customHeight="1">
      <c r="A78" s="194">
        <v>3</v>
      </c>
      <c r="B78" s="318" t="s">
        <v>173</v>
      </c>
      <c r="C78" s="318"/>
      <c r="D78" s="142" t="s">
        <v>172</v>
      </c>
      <c r="E78" s="142" t="str">
        <f>E76</f>
        <v>CANOPY</v>
      </c>
      <c r="F78" s="157" t="s">
        <v>10</v>
      </c>
      <c r="G78" s="173">
        <f>G76</f>
        <v>660</v>
      </c>
      <c r="H78" s="174">
        <v>0.13500000000000001</v>
      </c>
      <c r="I78" s="175">
        <f>G78*H78</f>
        <v>89.100000000000009</v>
      </c>
      <c r="J78" s="221">
        <f>I78*2.7%+(I78/20)*0.5</f>
        <v>4.6332000000000004</v>
      </c>
      <c r="K78" s="173">
        <v>0</v>
      </c>
      <c r="L78" s="195">
        <f>ROUNDUP(SUM(I78:K78),0)</f>
        <v>94</v>
      </c>
      <c r="M78" s="319"/>
      <c r="N78" s="320"/>
      <c r="O78" s="320"/>
      <c r="P78" s="320"/>
    </row>
    <row r="79" spans="1:41" s="14" customFormat="1" ht="46.15" customHeight="1">
      <c r="A79" s="320" t="str">
        <f>D28</f>
        <v xml:space="preserve">HYPER LILAC         </v>
      </c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</row>
    <row r="80" spans="1:41" s="14" customFormat="1" ht="96" customHeight="1">
      <c r="A80" s="194">
        <v>1</v>
      </c>
      <c r="B80" s="318" t="str">
        <f>L11</f>
        <v>FRENCH TERRY 100% ORGANIC COTTON 430GSM</v>
      </c>
      <c r="C80" s="318"/>
      <c r="D80" s="142" t="s">
        <v>49</v>
      </c>
      <c r="E80" s="142" t="str">
        <f>A79</f>
        <v xml:space="preserve">HYPER LILAC         </v>
      </c>
      <c r="F80" s="157" t="s">
        <v>10</v>
      </c>
      <c r="G80" s="173">
        <f>P30</f>
        <v>1447</v>
      </c>
      <c r="H80" s="174">
        <v>1.425</v>
      </c>
      <c r="I80" s="175">
        <f>G80*H80</f>
        <v>2061.9749999999999</v>
      </c>
      <c r="J80" s="175">
        <f>I80*8.7%+(I80/25)*0.5</f>
        <v>220.63132499999998</v>
      </c>
      <c r="K80" s="173">
        <v>0</v>
      </c>
      <c r="L80" s="195">
        <f>ROUNDUP(SUM(I80:K80),0)</f>
        <v>2283</v>
      </c>
      <c r="M80" s="319"/>
      <c r="N80" s="320"/>
      <c r="O80" s="320"/>
      <c r="P80" s="320"/>
    </row>
    <row r="81" spans="1:16" s="14" customFormat="1" ht="96" customHeight="1">
      <c r="A81" s="194">
        <v>2</v>
      </c>
      <c r="B81" s="318" t="s">
        <v>118</v>
      </c>
      <c r="C81" s="318"/>
      <c r="D81" s="142" t="s">
        <v>119</v>
      </c>
      <c r="E81" s="142" t="str">
        <f>E80</f>
        <v xml:space="preserve">HYPER LILAC         </v>
      </c>
      <c r="F81" s="157" t="s">
        <v>10</v>
      </c>
      <c r="G81" s="173">
        <f>G80</f>
        <v>1447</v>
      </c>
      <c r="H81" s="174">
        <v>0.02</v>
      </c>
      <c r="I81" s="175">
        <f>G81*H81</f>
        <v>28.94</v>
      </c>
      <c r="J81" s="175">
        <f>I81*3%+(I81/50)*0.5</f>
        <v>1.1576</v>
      </c>
      <c r="K81" s="173">
        <v>0</v>
      </c>
      <c r="L81" s="195">
        <f>ROUNDUP(SUM(I81:K81),0)</f>
        <v>31</v>
      </c>
      <c r="M81" s="319"/>
      <c r="N81" s="320"/>
      <c r="O81" s="320"/>
      <c r="P81" s="320"/>
    </row>
    <row r="82" spans="1:16" s="14" customFormat="1" ht="96" customHeight="1">
      <c r="A82" s="194">
        <v>3</v>
      </c>
      <c r="B82" s="318" t="s">
        <v>173</v>
      </c>
      <c r="C82" s="318"/>
      <c r="D82" s="142" t="s">
        <v>172</v>
      </c>
      <c r="E82" s="142" t="str">
        <f>E80</f>
        <v xml:space="preserve">HYPER LILAC         </v>
      </c>
      <c r="F82" s="157" t="s">
        <v>10</v>
      </c>
      <c r="G82" s="173">
        <f>G80</f>
        <v>1447</v>
      </c>
      <c r="H82" s="174">
        <v>0.13500000000000001</v>
      </c>
      <c r="I82" s="175">
        <f>G82*H82</f>
        <v>195.345</v>
      </c>
      <c r="J82" s="219">
        <f>I82*0%+(I82/25)*0.5</f>
        <v>3.9068999999999998</v>
      </c>
      <c r="K82" s="223">
        <v>0</v>
      </c>
      <c r="L82" s="195">
        <f>ROUNDUP(SUM(I82:K82),0)</f>
        <v>200</v>
      </c>
      <c r="M82" s="344"/>
      <c r="N82" s="344"/>
      <c r="O82" s="344"/>
      <c r="P82" s="344"/>
    </row>
    <row r="83" spans="1:16" s="14" customFormat="1" ht="46.15" customHeight="1">
      <c r="A83" s="320" t="str">
        <f>D33</f>
        <v>ATOMIC BLASTER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</row>
    <row r="84" spans="1:16" s="14" customFormat="1" ht="96" customHeight="1">
      <c r="A84" s="194">
        <v>1</v>
      </c>
      <c r="B84" s="318" t="str">
        <f>L11</f>
        <v>FRENCH TERRY 100% ORGANIC COTTON 430GSM</v>
      </c>
      <c r="C84" s="318"/>
      <c r="D84" s="142" t="s">
        <v>49</v>
      </c>
      <c r="E84" s="142" t="str">
        <f>A83</f>
        <v>ATOMIC BLASTER</v>
      </c>
      <c r="F84" s="157" t="s">
        <v>10</v>
      </c>
      <c r="G84" s="173">
        <f>P35</f>
        <v>791</v>
      </c>
      <c r="H84" s="174">
        <v>1.425</v>
      </c>
      <c r="I84" s="175">
        <f>G84*H84</f>
        <v>1127.175</v>
      </c>
      <c r="J84" s="175">
        <f>I84*8.7%+(I84/25)*0.5</f>
        <v>120.60772499999999</v>
      </c>
      <c r="K84" s="173">
        <v>0</v>
      </c>
      <c r="L84" s="195">
        <f>ROUNDUP(SUM(I84:K84),0)</f>
        <v>1248</v>
      </c>
      <c r="M84" s="319"/>
      <c r="N84" s="320"/>
      <c r="O84" s="320"/>
      <c r="P84" s="320"/>
    </row>
    <row r="85" spans="1:16" s="14" customFormat="1" ht="96" customHeight="1">
      <c r="A85" s="194">
        <v>2</v>
      </c>
      <c r="B85" s="318" t="s">
        <v>118</v>
      </c>
      <c r="C85" s="318"/>
      <c r="D85" s="142" t="s">
        <v>119</v>
      </c>
      <c r="E85" s="142" t="str">
        <f>E84</f>
        <v>ATOMIC BLASTER</v>
      </c>
      <c r="F85" s="157" t="s">
        <v>10</v>
      </c>
      <c r="G85" s="173">
        <f>G84</f>
        <v>791</v>
      </c>
      <c r="H85" s="174">
        <v>0.02</v>
      </c>
      <c r="I85" s="175">
        <f>G85*H85</f>
        <v>15.82</v>
      </c>
      <c r="J85" s="175">
        <f>I85*3%+(I85/50)*0.5</f>
        <v>0.63280000000000003</v>
      </c>
      <c r="K85" s="173">
        <v>0</v>
      </c>
      <c r="L85" s="195">
        <f>ROUNDUP(SUM(I85:K85),0)</f>
        <v>17</v>
      </c>
      <c r="M85" s="319"/>
      <c r="N85" s="320"/>
      <c r="O85" s="320"/>
      <c r="P85" s="320"/>
    </row>
    <row r="86" spans="1:16" s="14" customFormat="1" ht="96" customHeight="1">
      <c r="A86" s="194">
        <v>3</v>
      </c>
      <c r="B86" s="318" t="s">
        <v>173</v>
      </c>
      <c r="C86" s="318"/>
      <c r="D86" s="142" t="s">
        <v>172</v>
      </c>
      <c r="E86" s="142" t="str">
        <f>E84</f>
        <v>ATOMIC BLASTER</v>
      </c>
      <c r="F86" s="157" t="s">
        <v>10</v>
      </c>
      <c r="G86" s="173">
        <f>G84</f>
        <v>791</v>
      </c>
      <c r="H86" s="174">
        <v>0.13500000000000001</v>
      </c>
      <c r="I86" s="175">
        <f>G86*H86</f>
        <v>106.78500000000001</v>
      </c>
      <c r="J86" s="219">
        <f>I86*0%+(I86/25)*0.5</f>
        <v>2.1357000000000004</v>
      </c>
      <c r="K86" s="223">
        <v>0</v>
      </c>
      <c r="L86" s="195">
        <f>ROUNDUP(SUM(I86:K86),0)</f>
        <v>109</v>
      </c>
      <c r="M86" s="344"/>
      <c r="N86" s="344"/>
      <c r="O86" s="344"/>
      <c r="P86" s="344"/>
    </row>
    <row r="87" spans="1:16" s="14" customFormat="1" ht="46.15" customHeight="1">
      <c r="A87" s="320" t="str">
        <f>D38</f>
        <v>ROCKET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</row>
    <row r="88" spans="1:16" s="14" customFormat="1" ht="96" customHeight="1">
      <c r="A88" s="194">
        <v>1</v>
      </c>
      <c r="B88" s="318" t="str">
        <f>L11</f>
        <v>FRENCH TERRY 100% ORGANIC COTTON 430GSM</v>
      </c>
      <c r="C88" s="318"/>
      <c r="D88" s="142" t="s">
        <v>49</v>
      </c>
      <c r="E88" s="142" t="str">
        <f>A87</f>
        <v>ROCKET</v>
      </c>
      <c r="F88" s="157" t="s">
        <v>10</v>
      </c>
      <c r="G88" s="173">
        <f>P40</f>
        <v>791</v>
      </c>
      <c r="H88" s="174">
        <v>1.425</v>
      </c>
      <c r="I88" s="175">
        <f>G88*H88</f>
        <v>1127.175</v>
      </c>
      <c r="J88" s="175">
        <f>I88*8.7%+(I88/25)*0.5</f>
        <v>120.60772499999999</v>
      </c>
      <c r="K88" s="173">
        <v>0</v>
      </c>
      <c r="L88" s="195">
        <f>ROUNDUP(SUM(I88:K88),0)</f>
        <v>1248</v>
      </c>
      <c r="M88" s="319"/>
      <c r="N88" s="320"/>
      <c r="O88" s="320"/>
      <c r="P88" s="320"/>
    </row>
    <row r="89" spans="1:16" s="14" customFormat="1" ht="96" customHeight="1">
      <c r="A89" s="194">
        <v>2</v>
      </c>
      <c r="B89" s="318" t="s">
        <v>118</v>
      </c>
      <c r="C89" s="318"/>
      <c r="D89" s="142" t="s">
        <v>119</v>
      </c>
      <c r="E89" s="142" t="str">
        <f>E88</f>
        <v>ROCKET</v>
      </c>
      <c r="F89" s="157" t="s">
        <v>10</v>
      </c>
      <c r="G89" s="173">
        <f>G88</f>
        <v>791</v>
      </c>
      <c r="H89" s="174">
        <v>0.02</v>
      </c>
      <c r="I89" s="175">
        <f>G89*H89</f>
        <v>15.82</v>
      </c>
      <c r="J89" s="175">
        <f>I89*3%+(I89/50)*0.5</f>
        <v>0.63280000000000003</v>
      </c>
      <c r="K89" s="173">
        <v>0</v>
      </c>
      <c r="L89" s="195">
        <f>ROUNDUP(SUM(I89:K89),0)</f>
        <v>17</v>
      </c>
      <c r="M89" s="319"/>
      <c r="N89" s="320"/>
      <c r="O89" s="320"/>
      <c r="P89" s="320"/>
    </row>
    <row r="90" spans="1:16" s="14" customFormat="1" ht="96" customHeight="1">
      <c r="A90" s="194">
        <v>3</v>
      </c>
      <c r="B90" s="318" t="s">
        <v>173</v>
      </c>
      <c r="C90" s="318"/>
      <c r="D90" s="142" t="s">
        <v>172</v>
      </c>
      <c r="E90" s="142" t="str">
        <f>E88</f>
        <v>ROCKET</v>
      </c>
      <c r="F90" s="157" t="s">
        <v>10</v>
      </c>
      <c r="G90" s="173">
        <f>G88</f>
        <v>791</v>
      </c>
      <c r="H90" s="174">
        <v>0.13500000000000001</v>
      </c>
      <c r="I90" s="175">
        <f>G90*H90</f>
        <v>106.78500000000001</v>
      </c>
      <c r="J90" s="219">
        <f>I90*0%+(I90/25)*0.5</f>
        <v>2.1357000000000004</v>
      </c>
      <c r="K90" s="223">
        <v>0</v>
      </c>
      <c r="L90" s="195">
        <f>ROUNDUP(SUM(I90:K90),0)</f>
        <v>109</v>
      </c>
      <c r="M90" s="344"/>
      <c r="N90" s="344"/>
      <c r="O90" s="344"/>
      <c r="P90" s="344"/>
    </row>
    <row r="91" spans="1:16" s="14" customFormat="1" ht="46.15" customHeight="1">
      <c r="A91" s="320" t="str">
        <f>D43</f>
        <v>ALLOY</v>
      </c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</row>
    <row r="92" spans="1:16" s="14" customFormat="1" ht="96" customHeight="1">
      <c r="A92" s="194">
        <v>1</v>
      </c>
      <c r="B92" s="318" t="str">
        <f>L11</f>
        <v>FRENCH TERRY 100% ORGANIC COTTON 430GSM</v>
      </c>
      <c r="C92" s="318"/>
      <c r="D92" s="142" t="s">
        <v>49</v>
      </c>
      <c r="E92" s="142" t="str">
        <f>A91</f>
        <v>ALLOY</v>
      </c>
      <c r="F92" s="157" t="s">
        <v>10</v>
      </c>
      <c r="G92" s="173">
        <f>P45</f>
        <v>660</v>
      </c>
      <c r="H92" s="174">
        <v>1.425</v>
      </c>
      <c r="I92" s="175">
        <f>G92*H92</f>
        <v>940.5</v>
      </c>
      <c r="J92" s="175">
        <f>I92*8.7%+(I92/25)*0.5</f>
        <v>100.6335</v>
      </c>
      <c r="K92" s="173">
        <v>0</v>
      </c>
      <c r="L92" s="195">
        <f>ROUNDUP(SUM(I92:K92),0)</f>
        <v>1042</v>
      </c>
      <c r="M92" s="319"/>
      <c r="N92" s="320"/>
      <c r="O92" s="320"/>
      <c r="P92" s="320"/>
    </row>
    <row r="93" spans="1:16" s="14" customFormat="1" ht="96" customHeight="1">
      <c r="A93" s="194">
        <v>2</v>
      </c>
      <c r="B93" s="318" t="s">
        <v>118</v>
      </c>
      <c r="C93" s="318"/>
      <c r="D93" s="142" t="s">
        <v>119</v>
      </c>
      <c r="E93" s="142" t="str">
        <f>E92</f>
        <v>ALLOY</v>
      </c>
      <c r="F93" s="157" t="s">
        <v>10</v>
      </c>
      <c r="G93" s="173">
        <f>G92</f>
        <v>660</v>
      </c>
      <c r="H93" s="174">
        <v>0.02</v>
      </c>
      <c r="I93" s="175">
        <f>G93*H93</f>
        <v>13.200000000000001</v>
      </c>
      <c r="J93" s="175">
        <f>I93*3%+(I93/50)*0.5</f>
        <v>0.52800000000000002</v>
      </c>
      <c r="K93" s="173">
        <v>0</v>
      </c>
      <c r="L93" s="195">
        <f>ROUNDUP(SUM(I93:K93),0)</f>
        <v>14</v>
      </c>
      <c r="M93" s="319"/>
      <c r="N93" s="320"/>
      <c r="O93" s="320"/>
      <c r="P93" s="320"/>
    </row>
    <row r="94" spans="1:16" s="14" customFormat="1" ht="96" customHeight="1">
      <c r="A94" s="194">
        <v>3</v>
      </c>
      <c r="B94" s="318" t="s">
        <v>173</v>
      </c>
      <c r="C94" s="318"/>
      <c r="D94" s="142" t="s">
        <v>172</v>
      </c>
      <c r="E94" s="142" t="str">
        <f>E92</f>
        <v>ALLOY</v>
      </c>
      <c r="F94" s="157" t="s">
        <v>10</v>
      </c>
      <c r="G94" s="173">
        <f>G92</f>
        <v>660</v>
      </c>
      <c r="H94" s="174">
        <v>0.13500000000000001</v>
      </c>
      <c r="I94" s="175">
        <f>G94*H94</f>
        <v>89.100000000000009</v>
      </c>
      <c r="J94" s="219">
        <f>I94*0%+(I94/25)*0.5</f>
        <v>1.7820000000000003</v>
      </c>
      <c r="K94" s="223">
        <v>0</v>
      </c>
      <c r="L94" s="195">
        <f>ROUNDUP(SUM(I94:K94),0)</f>
        <v>91</v>
      </c>
      <c r="M94" s="344"/>
      <c r="N94" s="344"/>
      <c r="O94" s="344"/>
      <c r="P94" s="344"/>
    </row>
    <row r="95" spans="1:16" s="14" customFormat="1" ht="41.15" customHeight="1">
      <c r="A95" s="320" t="str">
        <f>D48</f>
        <v xml:space="preserve">OPTIC WHITE         </v>
      </c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</row>
    <row r="96" spans="1:16" s="14" customFormat="1" ht="97.15" customHeight="1">
      <c r="A96" s="194">
        <v>1</v>
      </c>
      <c r="B96" s="318" t="str">
        <f>L11</f>
        <v>FRENCH TERRY 100% ORGANIC COTTON 430GSM</v>
      </c>
      <c r="C96" s="318"/>
      <c r="D96" s="142" t="s">
        <v>49</v>
      </c>
      <c r="E96" s="142" t="str">
        <f>A95</f>
        <v xml:space="preserve">OPTIC WHITE         </v>
      </c>
      <c r="F96" s="157" t="s">
        <v>10</v>
      </c>
      <c r="G96" s="173">
        <f>P50</f>
        <v>660</v>
      </c>
      <c r="H96" s="174">
        <v>1.425</v>
      </c>
      <c r="I96" s="175">
        <f>G96*H96</f>
        <v>940.5</v>
      </c>
      <c r="J96" s="175">
        <f>I96*12.8%+(I96/25)*0.5</f>
        <v>139.19399999999999</v>
      </c>
      <c r="K96" s="173">
        <v>0</v>
      </c>
      <c r="L96" s="195">
        <f>ROUNDUP(SUM(I96:K96),0)</f>
        <v>1080</v>
      </c>
      <c r="M96" s="319"/>
      <c r="N96" s="320"/>
      <c r="O96" s="320"/>
      <c r="P96" s="320"/>
    </row>
    <row r="97" spans="1:16" s="14" customFormat="1" ht="97.15" customHeight="1">
      <c r="A97" s="194">
        <v>2</v>
      </c>
      <c r="B97" s="318" t="s">
        <v>118</v>
      </c>
      <c r="C97" s="318"/>
      <c r="D97" s="142" t="s">
        <v>119</v>
      </c>
      <c r="E97" s="142" t="str">
        <f>E96</f>
        <v xml:space="preserve">OPTIC WHITE         </v>
      </c>
      <c r="F97" s="157" t="s">
        <v>10</v>
      </c>
      <c r="G97" s="173">
        <f>G96</f>
        <v>660</v>
      </c>
      <c r="H97" s="174">
        <v>0.02</v>
      </c>
      <c r="I97" s="175">
        <f>G97*H97</f>
        <v>13.200000000000001</v>
      </c>
      <c r="J97" s="175">
        <f>I97*4.4%+(I97/40)*0.5</f>
        <v>0.74580000000000013</v>
      </c>
      <c r="K97" s="173">
        <v>0</v>
      </c>
      <c r="L97" s="195">
        <f>ROUNDUP(SUM(I97:K97),0)</f>
        <v>14</v>
      </c>
      <c r="M97" s="319"/>
      <c r="N97" s="320"/>
      <c r="O97" s="320"/>
      <c r="P97" s="320"/>
    </row>
    <row r="98" spans="1:16" s="14" customFormat="1" ht="97.15" customHeight="1">
      <c r="A98" s="194">
        <v>3</v>
      </c>
      <c r="B98" s="318" t="s">
        <v>173</v>
      </c>
      <c r="C98" s="318"/>
      <c r="D98" s="142" t="s">
        <v>172</v>
      </c>
      <c r="E98" s="142" t="str">
        <f>E96</f>
        <v xml:space="preserve">OPTIC WHITE         </v>
      </c>
      <c r="F98" s="157" t="s">
        <v>10</v>
      </c>
      <c r="G98" s="173">
        <f>G96</f>
        <v>660</v>
      </c>
      <c r="H98" s="174">
        <v>0.13500000000000001</v>
      </c>
      <c r="I98" s="175">
        <f>G98*H98</f>
        <v>89.100000000000009</v>
      </c>
      <c r="J98" s="219">
        <f>I98*0%+(I98/20)*0.5</f>
        <v>2.2275</v>
      </c>
      <c r="K98" s="223">
        <v>0</v>
      </c>
      <c r="L98" s="195">
        <f>ROUNDUP(SUM(I98:K98),0)</f>
        <v>92</v>
      </c>
      <c r="M98" s="373"/>
      <c r="N98" s="344"/>
      <c r="O98" s="344"/>
      <c r="P98" s="344"/>
    </row>
    <row r="99" spans="1:16" s="14" customFormat="1" ht="46.15" hidden="1" customHeight="1">
      <c r="A99" s="320" t="str">
        <f>D53</f>
        <v>OVERCAST</v>
      </c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</row>
    <row r="100" spans="1:16" s="14" customFormat="1" ht="128.65" hidden="1" customHeight="1">
      <c r="A100" s="194">
        <v>1</v>
      </c>
      <c r="B100" s="318" t="str">
        <f>L11</f>
        <v>FRENCH TERRY 100% ORGANIC COTTON 430GSM</v>
      </c>
      <c r="C100" s="318"/>
      <c r="D100" s="142" t="s">
        <v>49</v>
      </c>
      <c r="E100" s="142" t="str">
        <f>A99</f>
        <v>OVERCAST</v>
      </c>
      <c r="F100" s="157" t="s">
        <v>10</v>
      </c>
      <c r="G100" s="173">
        <f>P55</f>
        <v>0</v>
      </c>
      <c r="H100" s="174">
        <v>1.425</v>
      </c>
      <c r="I100" s="175">
        <f>G100*H100</f>
        <v>0</v>
      </c>
      <c r="J100" s="175">
        <f>I100*5.7%+(I100/20)*0.5</f>
        <v>0</v>
      </c>
      <c r="K100" s="173">
        <v>0</v>
      </c>
      <c r="L100" s="195">
        <f>ROUNDUP(SUM(I100:K100),0)</f>
        <v>0</v>
      </c>
      <c r="M100" s="319"/>
      <c r="N100" s="320"/>
      <c r="O100" s="320"/>
      <c r="P100" s="320"/>
    </row>
    <row r="101" spans="1:16" s="14" customFormat="1" ht="128.65" hidden="1" customHeight="1">
      <c r="A101" s="194">
        <v>2</v>
      </c>
      <c r="B101" s="318" t="s">
        <v>118</v>
      </c>
      <c r="C101" s="318"/>
      <c r="D101" s="142" t="s">
        <v>119</v>
      </c>
      <c r="E101" s="142" t="str">
        <f>E100</f>
        <v>OVERCAST</v>
      </c>
      <c r="F101" s="157" t="s">
        <v>10</v>
      </c>
      <c r="G101" s="173">
        <f>G100</f>
        <v>0</v>
      </c>
      <c r="H101" s="174">
        <v>0.02</v>
      </c>
      <c r="I101" s="175">
        <f>G101*H101</f>
        <v>0</v>
      </c>
      <c r="J101" s="175">
        <f>I101*2.3%+(I101/50)*0.5</f>
        <v>0</v>
      </c>
      <c r="K101" s="173">
        <v>0</v>
      </c>
      <c r="L101" s="195">
        <f>ROUNDUP(SUM(I101:K101),0)</f>
        <v>0</v>
      </c>
      <c r="M101" s="319"/>
      <c r="N101" s="320"/>
      <c r="O101" s="320"/>
      <c r="P101" s="320"/>
    </row>
    <row r="102" spans="1:16" s="14" customFormat="1" ht="128.65" hidden="1" customHeight="1">
      <c r="A102" s="194">
        <v>2</v>
      </c>
      <c r="B102" s="318" t="s">
        <v>173</v>
      </c>
      <c r="C102" s="318"/>
      <c r="D102" s="142" t="s">
        <v>172</v>
      </c>
      <c r="E102" s="142" t="str">
        <f>E100</f>
        <v>OVERCAST</v>
      </c>
      <c r="F102" s="157" t="s">
        <v>10</v>
      </c>
      <c r="G102" s="173">
        <f>G100</f>
        <v>0</v>
      </c>
      <c r="H102" s="174">
        <v>0.13500000000000001</v>
      </c>
      <c r="I102" s="175">
        <f>G102*H102</f>
        <v>0</v>
      </c>
      <c r="J102" s="221">
        <f>I102*9.9%+(I102/20)*0.5</f>
        <v>0</v>
      </c>
      <c r="K102" s="223">
        <v>0</v>
      </c>
      <c r="L102" s="195">
        <f>ROUNDUP(SUM(I102:K102),0)</f>
        <v>0</v>
      </c>
      <c r="M102" s="373"/>
      <c r="N102" s="344"/>
      <c r="O102" s="344"/>
      <c r="P102" s="344"/>
    </row>
    <row r="103" spans="1:16" s="14" customFormat="1" ht="46.15" hidden="1" customHeight="1">
      <c r="A103" s="320" t="str">
        <f>D58</f>
        <v>WILD MUSHROOM</v>
      </c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</row>
    <row r="104" spans="1:16" s="14" customFormat="1" ht="128.65" hidden="1" customHeight="1">
      <c r="A104" s="194">
        <v>1</v>
      </c>
      <c r="B104" s="318" t="str">
        <f>L11</f>
        <v>FRENCH TERRY 100% ORGANIC COTTON 430GSM</v>
      </c>
      <c r="C104" s="318"/>
      <c r="D104" s="142" t="s">
        <v>49</v>
      </c>
      <c r="E104" s="142" t="str">
        <f>A103</f>
        <v>WILD MUSHROOM</v>
      </c>
      <c r="F104" s="157" t="s">
        <v>10</v>
      </c>
      <c r="G104" s="173">
        <f>P60</f>
        <v>0</v>
      </c>
      <c r="H104" s="174">
        <v>1.425</v>
      </c>
      <c r="I104" s="175">
        <f>G104*H104</f>
        <v>0</v>
      </c>
      <c r="J104" s="175">
        <f>I104*3.4%+(I104/20)*0.5</f>
        <v>0</v>
      </c>
      <c r="K104" s="173">
        <v>3</v>
      </c>
      <c r="L104" s="195">
        <f>ROUNDUP(SUM(I104:K104),0)</f>
        <v>3</v>
      </c>
      <c r="M104" s="320"/>
      <c r="N104" s="320"/>
      <c r="O104" s="320"/>
      <c r="P104" s="320"/>
    </row>
    <row r="105" spans="1:16" s="14" customFormat="1" ht="128.65" hidden="1" customHeight="1">
      <c r="A105" s="194">
        <v>2</v>
      </c>
      <c r="B105" s="318" t="s">
        <v>118</v>
      </c>
      <c r="C105" s="318"/>
      <c r="D105" s="142" t="s">
        <v>119</v>
      </c>
      <c r="E105" s="142" t="str">
        <f>E104</f>
        <v>WILD MUSHROOM</v>
      </c>
      <c r="F105" s="157" t="s">
        <v>10</v>
      </c>
      <c r="G105" s="173">
        <f>G104</f>
        <v>0</v>
      </c>
      <c r="H105" s="174">
        <v>0.02</v>
      </c>
      <c r="I105" s="175">
        <f>G105*H105</f>
        <v>0</v>
      </c>
      <c r="J105" s="175">
        <f>I105*2.1%+(I105/60)*0.5</f>
        <v>0</v>
      </c>
      <c r="K105" s="173">
        <v>0</v>
      </c>
      <c r="L105" s="195">
        <f>ROUNDUP(SUM(I105:K105),0)</f>
        <v>0</v>
      </c>
      <c r="M105" s="320"/>
      <c r="N105" s="320"/>
      <c r="O105" s="320"/>
      <c r="P105" s="320"/>
    </row>
    <row r="106" spans="1:16" s="14" customFormat="1" ht="128.65" hidden="1" customHeight="1">
      <c r="A106" s="194">
        <v>2</v>
      </c>
      <c r="B106" s="318" t="s">
        <v>173</v>
      </c>
      <c r="C106" s="318"/>
      <c r="D106" s="142" t="s">
        <v>172</v>
      </c>
      <c r="E106" s="142" t="str">
        <f>E104</f>
        <v>WILD MUSHROOM</v>
      </c>
      <c r="F106" s="157" t="s">
        <v>10</v>
      </c>
      <c r="G106" s="173">
        <f>G104</f>
        <v>0</v>
      </c>
      <c r="H106" s="174">
        <v>0.13500000000000001</v>
      </c>
      <c r="I106" s="175">
        <f>G106*H106</f>
        <v>0</v>
      </c>
      <c r="J106" s="175">
        <f>I106*5.8%+(I106/30)*0.5</f>
        <v>0</v>
      </c>
      <c r="K106" s="173">
        <v>0</v>
      </c>
      <c r="L106" s="195">
        <f>ROUNDUP(SUM(I106:K106),0)</f>
        <v>0</v>
      </c>
      <c r="M106" s="320"/>
      <c r="N106" s="320"/>
      <c r="O106" s="320"/>
      <c r="P106" s="320"/>
    </row>
    <row r="107" spans="1:16" s="14" customFormat="1" ht="41.15" hidden="1" customHeight="1">
      <c r="A107" s="320" t="str">
        <f>D63</f>
        <v>PUNCH</v>
      </c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</row>
    <row r="108" spans="1:16" s="14" customFormat="1" ht="162.65" hidden="1" customHeight="1">
      <c r="A108" s="194">
        <v>1</v>
      </c>
      <c r="B108" s="318" t="str">
        <f>L11</f>
        <v>FRENCH TERRY 100% ORGANIC COTTON 430GSM</v>
      </c>
      <c r="C108" s="318"/>
      <c r="D108" s="142" t="s">
        <v>49</v>
      </c>
      <c r="E108" s="142" t="str">
        <f>A107</f>
        <v>PUNCH</v>
      </c>
      <c r="F108" s="157" t="s">
        <v>10</v>
      </c>
      <c r="G108" s="173">
        <f>P65</f>
        <v>0</v>
      </c>
      <c r="H108" s="174">
        <v>1.425</v>
      </c>
      <c r="I108" s="175">
        <f>G108*H108</f>
        <v>0</v>
      </c>
      <c r="J108" s="219">
        <f>I108*5.8%+(I108/20)*0.5</f>
        <v>0</v>
      </c>
      <c r="K108" s="173">
        <v>0</v>
      </c>
      <c r="L108" s="195">
        <f>ROUNDUP(SUM(I108:K108),0)</f>
        <v>0</v>
      </c>
      <c r="M108" s="373"/>
      <c r="N108" s="344"/>
      <c r="O108" s="344"/>
      <c r="P108" s="344"/>
    </row>
    <row r="109" spans="1:16" s="14" customFormat="1" ht="99.65" hidden="1" customHeight="1">
      <c r="A109" s="194">
        <v>2</v>
      </c>
      <c r="B109" s="318" t="s">
        <v>118</v>
      </c>
      <c r="C109" s="318"/>
      <c r="D109" s="142" t="s">
        <v>119</v>
      </c>
      <c r="E109" s="142" t="str">
        <f>E108</f>
        <v>PUNCH</v>
      </c>
      <c r="F109" s="157" t="s">
        <v>10</v>
      </c>
      <c r="G109" s="173">
        <f>G108</f>
        <v>0</v>
      </c>
      <c r="H109" s="174">
        <v>0.02</v>
      </c>
      <c r="I109" s="175">
        <f>G109*H109</f>
        <v>0</v>
      </c>
      <c r="J109" s="175">
        <f>I109*6.1%+(I109/50)*0.5</f>
        <v>0</v>
      </c>
      <c r="K109" s="173">
        <v>0</v>
      </c>
      <c r="L109" s="195">
        <f>ROUNDUP(SUM(I109:K109),0)</f>
        <v>0</v>
      </c>
      <c r="M109" s="319"/>
      <c r="N109" s="320"/>
      <c r="O109" s="320"/>
      <c r="P109" s="320"/>
    </row>
    <row r="110" spans="1:16" s="14" customFormat="1" ht="99.65" hidden="1" customHeight="1">
      <c r="A110" s="194">
        <v>2</v>
      </c>
      <c r="B110" s="318" t="s">
        <v>173</v>
      </c>
      <c r="C110" s="318"/>
      <c r="D110" s="142" t="s">
        <v>172</v>
      </c>
      <c r="E110" s="142" t="str">
        <f>E108</f>
        <v>PUNCH</v>
      </c>
      <c r="F110" s="157" t="s">
        <v>10</v>
      </c>
      <c r="G110" s="173">
        <f>G108</f>
        <v>0</v>
      </c>
      <c r="H110" s="174">
        <v>0.13500000000000001</v>
      </c>
      <c r="I110" s="175">
        <f>G110*H110</f>
        <v>0</v>
      </c>
      <c r="J110" s="219">
        <f>I110*2.1%+(I110/60)*0.5</f>
        <v>0</v>
      </c>
      <c r="K110" s="223">
        <v>0</v>
      </c>
      <c r="L110" s="195">
        <f>ROUNDUP(SUM(I110:K110),0)</f>
        <v>0</v>
      </c>
      <c r="M110" s="344"/>
      <c r="N110" s="344"/>
      <c r="O110" s="344"/>
      <c r="P110" s="344"/>
    </row>
    <row r="111" spans="1:16" s="58" customFormat="1" ht="20.149999999999999" customHeight="1">
      <c r="A111" s="55"/>
      <c r="B111" s="55"/>
      <c r="C111" s="55"/>
      <c r="D111" s="55"/>
      <c r="E111" s="55"/>
      <c r="F111" s="55"/>
      <c r="G111" s="59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1:16" s="60" customFormat="1" ht="49.5" customHeight="1" thickBot="1">
      <c r="B112" s="129" t="s">
        <v>22</v>
      </c>
      <c r="C112" s="61"/>
      <c r="D112" s="61"/>
      <c r="E112" s="61"/>
      <c r="G112" s="62"/>
      <c r="P112" s="63"/>
    </row>
    <row r="113" spans="1:16" s="74" customFormat="1" ht="77.650000000000006" customHeight="1">
      <c r="A113" s="348" t="s">
        <v>23</v>
      </c>
      <c r="B113" s="349"/>
      <c r="C113" s="349"/>
      <c r="D113" s="349"/>
      <c r="E113" s="350"/>
      <c r="F113" s="122" t="s">
        <v>45</v>
      </c>
      <c r="G113" s="122" t="s">
        <v>24</v>
      </c>
      <c r="H113" s="351" t="s">
        <v>40</v>
      </c>
      <c r="I113" s="352"/>
      <c r="J113" s="123" t="s">
        <v>19</v>
      </c>
      <c r="K113" s="122" t="s">
        <v>46</v>
      </c>
      <c r="L113" s="122" t="s">
        <v>25</v>
      </c>
      <c r="M113" s="124" t="s">
        <v>26</v>
      </c>
      <c r="N113" s="124" t="s">
        <v>27</v>
      </c>
      <c r="O113" s="124" t="s">
        <v>28</v>
      </c>
      <c r="P113" s="124" t="s">
        <v>29</v>
      </c>
    </row>
    <row r="114" spans="1:16" s="67" customFormat="1" ht="64.5" customHeight="1">
      <c r="A114" s="142">
        <v>1</v>
      </c>
      <c r="B114" s="318" t="s">
        <v>120</v>
      </c>
      <c r="C114" s="318"/>
      <c r="D114" s="318"/>
      <c r="E114" s="318"/>
      <c r="F114" s="220" t="str">
        <f>$A$71</f>
        <v>DARKEST BLACK</v>
      </c>
      <c r="G114" s="214"/>
      <c r="H114" s="345" t="str">
        <f>$A$71</f>
        <v>DARKEST BLACK</v>
      </c>
      <c r="I114" s="346"/>
      <c r="J114" s="157" t="s">
        <v>30</v>
      </c>
      <c r="K114" s="157">
        <f>$P$20</f>
        <v>1447</v>
      </c>
      <c r="L114" s="153">
        <f t="shared" ref="L114:L120" si="44">357/4500</f>
        <v>7.9333333333333339E-2</v>
      </c>
      <c r="M114" s="154">
        <f t="shared" ref="M114:M119" si="45">K114*L114</f>
        <v>114.79533333333335</v>
      </c>
      <c r="N114" s="154"/>
      <c r="O114" s="155">
        <f t="shared" ref="O114:O120" si="46">ROUNDUP(SUM(M114:N114),0)</f>
        <v>115</v>
      </c>
      <c r="P114" s="211"/>
    </row>
    <row r="115" spans="1:16" s="67" customFormat="1" ht="64.5" customHeight="1">
      <c r="A115" s="142">
        <v>1</v>
      </c>
      <c r="B115" s="318"/>
      <c r="C115" s="318"/>
      <c r="D115" s="318"/>
      <c r="E115" s="318"/>
      <c r="F115" s="220" t="str">
        <f>$A$75</f>
        <v>CANOPY</v>
      </c>
      <c r="G115" s="214"/>
      <c r="H115" s="345" t="str">
        <f>$A$75</f>
        <v>CANOPY</v>
      </c>
      <c r="I115" s="346"/>
      <c r="J115" s="157" t="s">
        <v>30</v>
      </c>
      <c r="K115" s="157">
        <f>$P$25</f>
        <v>660</v>
      </c>
      <c r="L115" s="153">
        <f t="shared" si="44"/>
        <v>7.9333333333333339E-2</v>
      </c>
      <c r="M115" s="154">
        <f t="shared" si="45"/>
        <v>52.360000000000007</v>
      </c>
      <c r="N115" s="154"/>
      <c r="O115" s="155">
        <f t="shared" si="46"/>
        <v>53</v>
      </c>
      <c r="P115" s="211"/>
    </row>
    <row r="116" spans="1:16" s="67" customFormat="1" ht="64.5" customHeight="1">
      <c r="A116" s="142">
        <v>1</v>
      </c>
      <c r="B116" s="318"/>
      <c r="C116" s="318"/>
      <c r="D116" s="318"/>
      <c r="E116" s="318"/>
      <c r="F116" s="220" t="str">
        <f>$A$79</f>
        <v xml:space="preserve">HYPER LILAC         </v>
      </c>
      <c r="G116" s="214"/>
      <c r="H116" s="345" t="str">
        <f>$A$79</f>
        <v xml:space="preserve">HYPER LILAC         </v>
      </c>
      <c r="I116" s="346"/>
      <c r="J116" s="157" t="s">
        <v>30</v>
      </c>
      <c r="K116" s="157">
        <f>$P$30</f>
        <v>1447</v>
      </c>
      <c r="L116" s="153">
        <f t="shared" si="44"/>
        <v>7.9333333333333339E-2</v>
      </c>
      <c r="M116" s="154">
        <f t="shared" si="45"/>
        <v>114.79533333333335</v>
      </c>
      <c r="N116" s="154"/>
      <c r="O116" s="155">
        <f t="shared" si="46"/>
        <v>115</v>
      </c>
      <c r="P116" s="211"/>
    </row>
    <row r="117" spans="1:16" s="67" customFormat="1" ht="64.5" customHeight="1">
      <c r="A117" s="142">
        <v>1</v>
      </c>
      <c r="B117" s="318"/>
      <c r="C117" s="318"/>
      <c r="D117" s="318"/>
      <c r="E117" s="318"/>
      <c r="F117" s="220" t="str">
        <f>$A$83</f>
        <v>ATOMIC BLASTER</v>
      </c>
      <c r="G117" s="214"/>
      <c r="H117" s="345" t="str">
        <f>$A$83</f>
        <v>ATOMIC BLASTER</v>
      </c>
      <c r="I117" s="346"/>
      <c r="J117" s="157" t="s">
        <v>30</v>
      </c>
      <c r="K117" s="157">
        <f>$P$35</f>
        <v>791</v>
      </c>
      <c r="L117" s="153">
        <f t="shared" si="44"/>
        <v>7.9333333333333339E-2</v>
      </c>
      <c r="M117" s="154">
        <f t="shared" si="45"/>
        <v>62.75266666666667</v>
      </c>
      <c r="N117" s="154"/>
      <c r="O117" s="155">
        <f t="shared" si="46"/>
        <v>63</v>
      </c>
      <c r="P117" s="211"/>
    </row>
    <row r="118" spans="1:16" s="67" customFormat="1" ht="64.5" customHeight="1">
      <c r="A118" s="142">
        <v>1</v>
      </c>
      <c r="B118" s="318"/>
      <c r="C118" s="318"/>
      <c r="D118" s="318"/>
      <c r="E118" s="318"/>
      <c r="F118" s="220" t="str">
        <f>$A$87</f>
        <v>ROCKET</v>
      </c>
      <c r="G118" s="214"/>
      <c r="H118" s="345" t="str">
        <f>$A$87</f>
        <v>ROCKET</v>
      </c>
      <c r="I118" s="346"/>
      <c r="J118" s="157" t="s">
        <v>30</v>
      </c>
      <c r="K118" s="157">
        <f>$P$40</f>
        <v>791</v>
      </c>
      <c r="L118" s="153">
        <f t="shared" si="44"/>
        <v>7.9333333333333339E-2</v>
      </c>
      <c r="M118" s="154">
        <f t="shared" si="45"/>
        <v>62.75266666666667</v>
      </c>
      <c r="N118" s="154"/>
      <c r="O118" s="155">
        <f t="shared" si="46"/>
        <v>63</v>
      </c>
      <c r="P118" s="211"/>
    </row>
    <row r="119" spans="1:16" s="67" customFormat="1" ht="64.5" customHeight="1">
      <c r="A119" s="142">
        <v>1</v>
      </c>
      <c r="B119" s="318"/>
      <c r="C119" s="318"/>
      <c r="D119" s="318"/>
      <c r="E119" s="318"/>
      <c r="F119" s="220" t="str">
        <f>$A$91</f>
        <v>ALLOY</v>
      </c>
      <c r="G119" s="214"/>
      <c r="H119" s="345" t="str">
        <f>$A$91</f>
        <v>ALLOY</v>
      </c>
      <c r="I119" s="346"/>
      <c r="J119" s="157" t="s">
        <v>30</v>
      </c>
      <c r="K119" s="157">
        <f>$P$45</f>
        <v>660</v>
      </c>
      <c r="L119" s="153">
        <f t="shared" si="44"/>
        <v>7.9333333333333339E-2</v>
      </c>
      <c r="M119" s="154">
        <f t="shared" si="45"/>
        <v>52.360000000000007</v>
      </c>
      <c r="N119" s="154"/>
      <c r="O119" s="155">
        <f t="shared" si="46"/>
        <v>53</v>
      </c>
      <c r="P119" s="211"/>
    </row>
    <row r="120" spans="1:16" s="67" customFormat="1" ht="64.5" customHeight="1">
      <c r="A120" s="142">
        <v>1</v>
      </c>
      <c r="B120" s="318"/>
      <c r="C120" s="318"/>
      <c r="D120" s="318"/>
      <c r="E120" s="318"/>
      <c r="F120" s="220" t="str">
        <f>$A$95</f>
        <v xml:space="preserve">OPTIC WHITE         </v>
      </c>
      <c r="G120" s="214"/>
      <c r="H120" s="345" t="str">
        <f>$A$95</f>
        <v xml:space="preserve">OPTIC WHITE         </v>
      </c>
      <c r="I120" s="346"/>
      <c r="J120" s="157" t="s">
        <v>30</v>
      </c>
      <c r="K120" s="157">
        <f>$P$50</f>
        <v>660</v>
      </c>
      <c r="L120" s="153">
        <f t="shared" si="44"/>
        <v>7.9333333333333339E-2</v>
      </c>
      <c r="M120" s="154">
        <f t="shared" ref="M120:M141" si="47">K120*L120</f>
        <v>52.360000000000007</v>
      </c>
      <c r="N120" s="154"/>
      <c r="O120" s="155">
        <f t="shared" si="46"/>
        <v>53</v>
      </c>
      <c r="P120" s="211"/>
    </row>
    <row r="121" spans="1:16" s="67" customFormat="1" ht="64.5" customHeight="1">
      <c r="A121" s="142">
        <v>2</v>
      </c>
      <c r="B121" s="377" t="s">
        <v>181</v>
      </c>
      <c r="C121" s="378"/>
      <c r="D121" s="378"/>
      <c r="E121" s="379"/>
      <c r="F121" s="406" t="s">
        <v>178</v>
      </c>
      <c r="G121" s="391" t="s">
        <v>182</v>
      </c>
      <c r="H121" s="345" t="str">
        <f>$A$71</f>
        <v>DARKEST BLACK</v>
      </c>
      <c r="I121" s="346"/>
      <c r="J121" s="157" t="s">
        <v>121</v>
      </c>
      <c r="K121" s="157">
        <f>$P$20</f>
        <v>1447</v>
      </c>
      <c r="L121" s="153">
        <v>1</v>
      </c>
      <c r="M121" s="229">
        <f t="shared" si="47"/>
        <v>1447</v>
      </c>
      <c r="N121" s="154"/>
      <c r="O121" s="155">
        <f t="shared" ref="O121:O159" si="48">SUM(M121:N121)</f>
        <v>1447</v>
      </c>
      <c r="P121" s="155"/>
    </row>
    <row r="122" spans="1:16" s="67" customFormat="1" ht="64.5" customHeight="1">
      <c r="A122" s="142">
        <v>2</v>
      </c>
      <c r="B122" s="380"/>
      <c r="C122" s="381"/>
      <c r="D122" s="381"/>
      <c r="E122" s="382"/>
      <c r="F122" s="407"/>
      <c r="G122" s="392"/>
      <c r="H122" s="345" t="str">
        <f>$A$75</f>
        <v>CANOPY</v>
      </c>
      <c r="I122" s="346"/>
      <c r="J122" s="157" t="s">
        <v>121</v>
      </c>
      <c r="K122" s="157">
        <f>$P$25</f>
        <v>660</v>
      </c>
      <c r="L122" s="153">
        <v>1</v>
      </c>
      <c r="M122" s="154">
        <f t="shared" si="47"/>
        <v>660</v>
      </c>
      <c r="N122" s="154"/>
      <c r="O122" s="155">
        <f t="shared" si="48"/>
        <v>660</v>
      </c>
      <c r="P122" s="155"/>
    </row>
    <row r="123" spans="1:16" s="67" customFormat="1" ht="64.5" customHeight="1">
      <c r="A123" s="142">
        <v>2</v>
      </c>
      <c r="B123" s="380"/>
      <c r="C123" s="381"/>
      <c r="D123" s="381"/>
      <c r="E123" s="382"/>
      <c r="F123" s="407"/>
      <c r="G123" s="392"/>
      <c r="H123" s="345" t="str">
        <f>$A$79</f>
        <v xml:space="preserve">HYPER LILAC         </v>
      </c>
      <c r="I123" s="346"/>
      <c r="J123" s="157" t="s">
        <v>121</v>
      </c>
      <c r="K123" s="157">
        <f>$P$30</f>
        <v>1447</v>
      </c>
      <c r="L123" s="153">
        <v>1</v>
      </c>
      <c r="M123" s="230">
        <f t="shared" si="47"/>
        <v>1447</v>
      </c>
      <c r="N123" s="154"/>
      <c r="O123" s="155">
        <f t="shared" si="48"/>
        <v>1447</v>
      </c>
      <c r="P123" s="155"/>
    </row>
    <row r="124" spans="1:16" s="228" customFormat="1" ht="64.5" customHeight="1">
      <c r="A124" s="222">
        <v>2</v>
      </c>
      <c r="B124" s="380"/>
      <c r="C124" s="381"/>
      <c r="D124" s="381"/>
      <c r="E124" s="382"/>
      <c r="F124" s="407"/>
      <c r="G124" s="392"/>
      <c r="H124" s="345" t="str">
        <f>$A$83</f>
        <v>ATOMIC BLASTER</v>
      </c>
      <c r="I124" s="346"/>
      <c r="J124" s="157" t="s">
        <v>121</v>
      </c>
      <c r="K124" s="157">
        <f>$P$35</f>
        <v>791</v>
      </c>
      <c r="L124" s="153">
        <v>1</v>
      </c>
      <c r="M124" s="177">
        <f t="shared" si="47"/>
        <v>791</v>
      </c>
      <c r="N124" s="177"/>
      <c r="O124" s="178">
        <f t="shared" si="48"/>
        <v>791</v>
      </c>
      <c r="P124" s="178"/>
    </row>
    <row r="125" spans="1:16" s="228" customFormat="1" ht="64.5" customHeight="1">
      <c r="A125" s="222">
        <v>2</v>
      </c>
      <c r="B125" s="380"/>
      <c r="C125" s="381"/>
      <c r="D125" s="381"/>
      <c r="E125" s="382"/>
      <c r="F125" s="407"/>
      <c r="G125" s="392"/>
      <c r="H125" s="345" t="str">
        <f>$A$87</f>
        <v>ROCKET</v>
      </c>
      <c r="I125" s="346"/>
      <c r="J125" s="157" t="s">
        <v>121</v>
      </c>
      <c r="K125" s="157">
        <f>$P$40</f>
        <v>791</v>
      </c>
      <c r="L125" s="153">
        <v>1</v>
      </c>
      <c r="M125" s="177">
        <f t="shared" si="47"/>
        <v>791</v>
      </c>
      <c r="N125" s="177"/>
      <c r="O125" s="178">
        <f t="shared" si="48"/>
        <v>791</v>
      </c>
      <c r="P125" s="178"/>
    </row>
    <row r="126" spans="1:16" s="228" customFormat="1" ht="64.5" customHeight="1">
      <c r="A126" s="222">
        <v>2</v>
      </c>
      <c r="B126" s="380"/>
      <c r="C126" s="381"/>
      <c r="D126" s="381"/>
      <c r="E126" s="382"/>
      <c r="F126" s="407"/>
      <c r="G126" s="392"/>
      <c r="H126" s="345" t="str">
        <f>$A$91</f>
        <v>ALLOY</v>
      </c>
      <c r="I126" s="346"/>
      <c r="J126" s="157" t="s">
        <v>121</v>
      </c>
      <c r="K126" s="157">
        <f>$P$45</f>
        <v>660</v>
      </c>
      <c r="L126" s="153">
        <v>1</v>
      </c>
      <c r="M126" s="177">
        <f t="shared" si="47"/>
        <v>660</v>
      </c>
      <c r="N126" s="177"/>
      <c r="O126" s="178">
        <f t="shared" si="48"/>
        <v>660</v>
      </c>
      <c r="P126" s="178"/>
    </row>
    <row r="127" spans="1:16" s="228" customFormat="1" ht="64.5" customHeight="1">
      <c r="A127" s="222">
        <v>2</v>
      </c>
      <c r="B127" s="383"/>
      <c r="C127" s="384"/>
      <c r="D127" s="384"/>
      <c r="E127" s="385"/>
      <c r="F127" s="408"/>
      <c r="G127" s="393"/>
      <c r="H127" s="345" t="str">
        <f>$A$95</f>
        <v xml:space="preserve">OPTIC WHITE         </v>
      </c>
      <c r="I127" s="346"/>
      <c r="J127" s="157" t="s">
        <v>121</v>
      </c>
      <c r="K127" s="157">
        <f>$P$50</f>
        <v>660</v>
      </c>
      <c r="L127" s="153">
        <v>1</v>
      </c>
      <c r="M127" s="177">
        <f t="shared" si="47"/>
        <v>660</v>
      </c>
      <c r="N127" s="177"/>
      <c r="O127" s="178">
        <f t="shared" si="48"/>
        <v>660</v>
      </c>
      <c r="P127" s="178"/>
    </row>
    <row r="128" spans="1:16" s="228" customFormat="1" ht="64.5" customHeight="1">
      <c r="A128" s="222">
        <v>3</v>
      </c>
      <c r="B128" s="377" t="s">
        <v>122</v>
      </c>
      <c r="C128" s="378"/>
      <c r="D128" s="378"/>
      <c r="E128" s="379"/>
      <c r="F128" s="406" t="s">
        <v>123</v>
      </c>
      <c r="G128" s="215"/>
      <c r="H128" s="345" t="str">
        <f>$A$71</f>
        <v>DARKEST BLACK</v>
      </c>
      <c r="I128" s="346"/>
      <c r="J128" s="157" t="s">
        <v>121</v>
      </c>
      <c r="K128" s="157">
        <f>$P$20</f>
        <v>1447</v>
      </c>
      <c r="L128" s="153">
        <v>1</v>
      </c>
      <c r="M128" s="229">
        <f t="shared" si="47"/>
        <v>1447</v>
      </c>
      <c r="N128" s="154"/>
      <c r="O128" s="155">
        <f t="shared" si="48"/>
        <v>1447</v>
      </c>
      <c r="P128" s="423" t="s">
        <v>180</v>
      </c>
    </row>
    <row r="129" spans="1:16" s="67" customFormat="1" ht="64.5" customHeight="1">
      <c r="A129" s="142">
        <v>3</v>
      </c>
      <c r="B129" s="380"/>
      <c r="C129" s="381"/>
      <c r="D129" s="381"/>
      <c r="E129" s="382"/>
      <c r="F129" s="407"/>
      <c r="G129" s="215"/>
      <c r="H129" s="345" t="str">
        <f>$A$75</f>
        <v>CANOPY</v>
      </c>
      <c r="I129" s="346"/>
      <c r="J129" s="157" t="s">
        <v>121</v>
      </c>
      <c r="K129" s="157">
        <f>$P$25</f>
        <v>660</v>
      </c>
      <c r="L129" s="153">
        <v>1</v>
      </c>
      <c r="M129" s="154">
        <f t="shared" si="47"/>
        <v>660</v>
      </c>
      <c r="N129" s="154"/>
      <c r="O129" s="155">
        <f t="shared" si="48"/>
        <v>660</v>
      </c>
      <c r="P129" s="424"/>
    </row>
    <row r="130" spans="1:16" s="67" customFormat="1" ht="64.5" customHeight="1">
      <c r="A130" s="142">
        <v>3</v>
      </c>
      <c r="B130" s="380"/>
      <c r="C130" s="381"/>
      <c r="D130" s="381"/>
      <c r="E130" s="382"/>
      <c r="F130" s="407"/>
      <c r="G130" s="215"/>
      <c r="H130" s="345" t="str">
        <f>$A$79</f>
        <v xml:space="preserve">HYPER LILAC         </v>
      </c>
      <c r="I130" s="346"/>
      <c r="J130" s="157" t="s">
        <v>121</v>
      </c>
      <c r="K130" s="157">
        <f>$P$30</f>
        <v>1447</v>
      </c>
      <c r="L130" s="153">
        <v>1</v>
      </c>
      <c r="M130" s="229">
        <f t="shared" si="47"/>
        <v>1447</v>
      </c>
      <c r="N130" s="154"/>
      <c r="O130" s="155">
        <f t="shared" si="48"/>
        <v>1447</v>
      </c>
      <c r="P130" s="424"/>
    </row>
    <row r="131" spans="1:16" s="231" customFormat="1" ht="64.5" customHeight="1">
      <c r="A131" s="142">
        <v>3</v>
      </c>
      <c r="B131" s="380"/>
      <c r="C131" s="381"/>
      <c r="D131" s="381"/>
      <c r="E131" s="382"/>
      <c r="F131" s="407"/>
      <c r="G131" s="215"/>
      <c r="H131" s="345" t="str">
        <f>$A$83</f>
        <v>ATOMIC BLASTER</v>
      </c>
      <c r="I131" s="346"/>
      <c r="J131" s="157" t="s">
        <v>121</v>
      </c>
      <c r="K131" s="157">
        <f>$P$35</f>
        <v>791</v>
      </c>
      <c r="L131" s="153">
        <v>1</v>
      </c>
      <c r="M131" s="154">
        <f t="shared" si="47"/>
        <v>791</v>
      </c>
      <c r="N131" s="154"/>
      <c r="O131" s="155">
        <f t="shared" si="48"/>
        <v>791</v>
      </c>
      <c r="P131" s="424"/>
    </row>
    <row r="132" spans="1:16" s="231" customFormat="1" ht="64.5" customHeight="1">
      <c r="A132" s="142">
        <v>3</v>
      </c>
      <c r="B132" s="380"/>
      <c r="C132" s="381"/>
      <c r="D132" s="381"/>
      <c r="E132" s="382"/>
      <c r="F132" s="407"/>
      <c r="G132" s="215"/>
      <c r="H132" s="345" t="str">
        <f>$A$87</f>
        <v>ROCKET</v>
      </c>
      <c r="I132" s="346"/>
      <c r="J132" s="157" t="s">
        <v>121</v>
      </c>
      <c r="K132" s="157">
        <f>$P$40</f>
        <v>791</v>
      </c>
      <c r="L132" s="153">
        <v>1</v>
      </c>
      <c r="M132" s="154">
        <f t="shared" si="47"/>
        <v>791</v>
      </c>
      <c r="N132" s="154"/>
      <c r="O132" s="155">
        <f t="shared" si="48"/>
        <v>791</v>
      </c>
      <c r="P132" s="424"/>
    </row>
    <row r="133" spans="1:16" s="231" customFormat="1" ht="64.5" customHeight="1">
      <c r="A133" s="142">
        <v>3</v>
      </c>
      <c r="B133" s="380"/>
      <c r="C133" s="381"/>
      <c r="D133" s="381"/>
      <c r="E133" s="382"/>
      <c r="F133" s="407"/>
      <c r="G133" s="215"/>
      <c r="H133" s="345" t="str">
        <f>$A$91</f>
        <v>ALLOY</v>
      </c>
      <c r="I133" s="346"/>
      <c r="J133" s="157" t="s">
        <v>121</v>
      </c>
      <c r="K133" s="157">
        <f>$P$45</f>
        <v>660</v>
      </c>
      <c r="L133" s="153">
        <v>1</v>
      </c>
      <c r="M133" s="154">
        <f t="shared" si="47"/>
        <v>660</v>
      </c>
      <c r="N133" s="154"/>
      <c r="O133" s="155">
        <f t="shared" si="48"/>
        <v>660</v>
      </c>
      <c r="P133" s="424"/>
    </row>
    <row r="134" spans="1:16" s="231" customFormat="1" ht="64.5" customHeight="1">
      <c r="A134" s="142">
        <v>3</v>
      </c>
      <c r="B134" s="383"/>
      <c r="C134" s="384"/>
      <c r="D134" s="384"/>
      <c r="E134" s="385"/>
      <c r="F134" s="408"/>
      <c r="G134" s="215"/>
      <c r="H134" s="345" t="str">
        <f>$A$95</f>
        <v xml:space="preserve">OPTIC WHITE         </v>
      </c>
      <c r="I134" s="346"/>
      <c r="J134" s="157" t="s">
        <v>121</v>
      </c>
      <c r="K134" s="157">
        <f>$P$50</f>
        <v>660</v>
      </c>
      <c r="L134" s="153">
        <v>1</v>
      </c>
      <c r="M134" s="154">
        <f t="shared" si="47"/>
        <v>660</v>
      </c>
      <c r="N134" s="154"/>
      <c r="O134" s="155">
        <f t="shared" si="48"/>
        <v>660</v>
      </c>
      <c r="P134" s="425"/>
    </row>
    <row r="135" spans="1:16" s="231" customFormat="1" ht="64.5" customHeight="1">
      <c r="A135" s="142">
        <v>4</v>
      </c>
      <c r="B135" s="397" t="s">
        <v>124</v>
      </c>
      <c r="C135" s="398"/>
      <c r="D135" s="398"/>
      <c r="E135" s="399"/>
      <c r="F135" s="374" t="s">
        <v>125</v>
      </c>
      <c r="G135" s="215"/>
      <c r="H135" s="345" t="str">
        <f>$A$71</f>
        <v>DARKEST BLACK</v>
      </c>
      <c r="I135" s="346"/>
      <c r="J135" s="157" t="s">
        <v>121</v>
      </c>
      <c r="K135" s="157">
        <f>$P$20</f>
        <v>1447</v>
      </c>
      <c r="L135" s="153">
        <v>1</v>
      </c>
      <c r="M135" s="229">
        <f t="shared" si="47"/>
        <v>1447</v>
      </c>
      <c r="N135" s="154"/>
      <c r="O135" s="155">
        <f t="shared" si="48"/>
        <v>1447</v>
      </c>
      <c r="P135" s="394" t="s">
        <v>180</v>
      </c>
    </row>
    <row r="136" spans="1:16" s="179" customFormat="1" ht="64.5" customHeight="1">
      <c r="A136" s="142">
        <v>4</v>
      </c>
      <c r="B136" s="400"/>
      <c r="C136" s="401"/>
      <c r="D136" s="401"/>
      <c r="E136" s="402"/>
      <c r="F136" s="375"/>
      <c r="G136" s="216"/>
      <c r="H136" s="345" t="str">
        <f>$A$75</f>
        <v>CANOPY</v>
      </c>
      <c r="I136" s="346"/>
      <c r="J136" s="176" t="s">
        <v>121</v>
      </c>
      <c r="K136" s="157">
        <f>$P$25</f>
        <v>660</v>
      </c>
      <c r="L136" s="218">
        <v>1</v>
      </c>
      <c r="M136" s="177">
        <f t="shared" si="47"/>
        <v>660</v>
      </c>
      <c r="N136" s="177"/>
      <c r="O136" s="178">
        <f t="shared" si="48"/>
        <v>660</v>
      </c>
      <c r="P136" s="395"/>
    </row>
    <row r="137" spans="1:16" s="179" customFormat="1" ht="64.5" customHeight="1">
      <c r="A137" s="142">
        <v>4</v>
      </c>
      <c r="B137" s="400"/>
      <c r="C137" s="401"/>
      <c r="D137" s="401"/>
      <c r="E137" s="402"/>
      <c r="F137" s="375"/>
      <c r="G137" s="216"/>
      <c r="H137" s="345" t="str">
        <f>$A$79</f>
        <v xml:space="preserve">HYPER LILAC         </v>
      </c>
      <c r="I137" s="346"/>
      <c r="J137" s="176" t="s">
        <v>121</v>
      </c>
      <c r="K137" s="157">
        <f>$P$30</f>
        <v>1447</v>
      </c>
      <c r="L137" s="218">
        <v>1</v>
      </c>
      <c r="M137" s="230">
        <f t="shared" si="47"/>
        <v>1447</v>
      </c>
      <c r="N137" s="177"/>
      <c r="O137" s="178">
        <f t="shared" si="48"/>
        <v>1447</v>
      </c>
      <c r="P137" s="395"/>
    </row>
    <row r="138" spans="1:16" s="231" customFormat="1" ht="64.5" customHeight="1">
      <c r="A138" s="142">
        <v>4</v>
      </c>
      <c r="B138" s="400"/>
      <c r="C138" s="401"/>
      <c r="D138" s="401"/>
      <c r="E138" s="402"/>
      <c r="F138" s="375"/>
      <c r="G138" s="216"/>
      <c r="H138" s="345" t="str">
        <f>$A$83</f>
        <v>ATOMIC BLASTER</v>
      </c>
      <c r="I138" s="346"/>
      <c r="J138" s="176" t="s">
        <v>121</v>
      </c>
      <c r="K138" s="157">
        <f>$P$35</f>
        <v>791</v>
      </c>
      <c r="L138" s="218">
        <v>1</v>
      </c>
      <c r="M138" s="177">
        <f t="shared" si="47"/>
        <v>791</v>
      </c>
      <c r="N138" s="177"/>
      <c r="O138" s="178">
        <f t="shared" si="48"/>
        <v>791</v>
      </c>
      <c r="P138" s="395"/>
    </row>
    <row r="139" spans="1:16" s="231" customFormat="1" ht="64.5" customHeight="1">
      <c r="A139" s="142">
        <v>4</v>
      </c>
      <c r="B139" s="400"/>
      <c r="C139" s="401"/>
      <c r="D139" s="401"/>
      <c r="E139" s="402"/>
      <c r="F139" s="375"/>
      <c r="G139" s="216"/>
      <c r="H139" s="345" t="str">
        <f>$A$87</f>
        <v>ROCKET</v>
      </c>
      <c r="I139" s="346"/>
      <c r="J139" s="176" t="s">
        <v>121</v>
      </c>
      <c r="K139" s="157">
        <f>$P$40</f>
        <v>791</v>
      </c>
      <c r="L139" s="218">
        <v>1</v>
      </c>
      <c r="M139" s="177">
        <f t="shared" si="47"/>
        <v>791</v>
      </c>
      <c r="N139" s="177"/>
      <c r="O139" s="178">
        <f t="shared" si="48"/>
        <v>791</v>
      </c>
      <c r="P139" s="395"/>
    </row>
    <row r="140" spans="1:16" s="231" customFormat="1" ht="64.5" customHeight="1">
      <c r="A140" s="142">
        <v>4</v>
      </c>
      <c r="B140" s="400"/>
      <c r="C140" s="401"/>
      <c r="D140" s="401"/>
      <c r="E140" s="402"/>
      <c r="F140" s="375"/>
      <c r="G140" s="216"/>
      <c r="H140" s="345" t="str">
        <f>$A$91</f>
        <v>ALLOY</v>
      </c>
      <c r="I140" s="346"/>
      <c r="J140" s="176" t="s">
        <v>121</v>
      </c>
      <c r="K140" s="157">
        <f>$P$45</f>
        <v>660</v>
      </c>
      <c r="L140" s="218">
        <v>1</v>
      </c>
      <c r="M140" s="177">
        <f t="shared" si="47"/>
        <v>660</v>
      </c>
      <c r="N140" s="177"/>
      <c r="O140" s="178">
        <f t="shared" si="48"/>
        <v>660</v>
      </c>
      <c r="P140" s="395"/>
    </row>
    <row r="141" spans="1:16" s="231" customFormat="1" ht="64.5" customHeight="1">
      <c r="A141" s="142">
        <v>4</v>
      </c>
      <c r="B141" s="403"/>
      <c r="C141" s="404"/>
      <c r="D141" s="404"/>
      <c r="E141" s="405"/>
      <c r="F141" s="376"/>
      <c r="G141" s="216"/>
      <c r="H141" s="345" t="str">
        <f>$A$95</f>
        <v xml:space="preserve">OPTIC WHITE         </v>
      </c>
      <c r="I141" s="346"/>
      <c r="J141" s="176" t="s">
        <v>121</v>
      </c>
      <c r="K141" s="157">
        <f>$P$50</f>
        <v>660</v>
      </c>
      <c r="L141" s="218">
        <v>1</v>
      </c>
      <c r="M141" s="177">
        <f t="shared" si="47"/>
        <v>660</v>
      </c>
      <c r="N141" s="177"/>
      <c r="O141" s="178">
        <f t="shared" si="48"/>
        <v>660</v>
      </c>
      <c r="P141" s="396"/>
    </row>
    <row r="142" spans="1:16" s="231" customFormat="1" ht="64.5" customHeight="1">
      <c r="A142" s="142">
        <v>5</v>
      </c>
      <c r="B142" s="397" t="s">
        <v>126</v>
      </c>
      <c r="C142" s="398"/>
      <c r="D142" s="398"/>
      <c r="E142" s="399"/>
      <c r="F142" s="406" t="s">
        <v>127</v>
      </c>
      <c r="G142" s="409">
        <v>102405</v>
      </c>
      <c r="H142" s="345" t="str">
        <f>$A$71</f>
        <v>DARKEST BLACK</v>
      </c>
      <c r="I142" s="346"/>
      <c r="J142" s="176" t="s">
        <v>121</v>
      </c>
      <c r="K142" s="157">
        <f>$P$20</f>
        <v>1447</v>
      </c>
      <c r="L142" s="218">
        <v>1</v>
      </c>
      <c r="M142" s="230">
        <f t="shared" ref="M142:M148" si="49">K142*L142</f>
        <v>1447</v>
      </c>
      <c r="N142" s="177"/>
      <c r="O142" s="178">
        <f t="shared" si="48"/>
        <v>1447</v>
      </c>
      <c r="P142" s="209"/>
    </row>
    <row r="143" spans="1:16" s="179" customFormat="1" ht="64.5" customHeight="1">
      <c r="A143" s="142">
        <v>5</v>
      </c>
      <c r="B143" s="400"/>
      <c r="C143" s="401"/>
      <c r="D143" s="401"/>
      <c r="E143" s="402"/>
      <c r="F143" s="407"/>
      <c r="G143" s="410"/>
      <c r="H143" s="345" t="str">
        <f>$A$75</f>
        <v>CANOPY</v>
      </c>
      <c r="I143" s="346"/>
      <c r="J143" s="176" t="s">
        <v>121</v>
      </c>
      <c r="K143" s="157">
        <f>$P$25</f>
        <v>660</v>
      </c>
      <c r="L143" s="218">
        <v>1</v>
      </c>
      <c r="M143" s="177">
        <f t="shared" si="49"/>
        <v>660</v>
      </c>
      <c r="N143" s="177"/>
      <c r="O143" s="178">
        <f t="shared" si="48"/>
        <v>660</v>
      </c>
      <c r="P143" s="209"/>
    </row>
    <row r="144" spans="1:16" s="179" customFormat="1" ht="64.5" customHeight="1">
      <c r="A144" s="142">
        <v>5</v>
      </c>
      <c r="B144" s="400"/>
      <c r="C144" s="401"/>
      <c r="D144" s="401"/>
      <c r="E144" s="402"/>
      <c r="F144" s="407"/>
      <c r="G144" s="410"/>
      <c r="H144" s="345" t="str">
        <f>$A$79</f>
        <v xml:space="preserve">HYPER LILAC         </v>
      </c>
      <c r="I144" s="346"/>
      <c r="J144" s="176" t="s">
        <v>121</v>
      </c>
      <c r="K144" s="157">
        <f>$P$30</f>
        <v>1447</v>
      </c>
      <c r="L144" s="218">
        <v>1</v>
      </c>
      <c r="M144" s="230">
        <f>K144*L144</f>
        <v>1447</v>
      </c>
      <c r="N144" s="177"/>
      <c r="O144" s="178">
        <f t="shared" si="48"/>
        <v>1447</v>
      </c>
      <c r="P144" s="209"/>
    </row>
    <row r="145" spans="1:16" s="231" customFormat="1" ht="64.5" customHeight="1">
      <c r="A145" s="142">
        <v>5</v>
      </c>
      <c r="B145" s="400"/>
      <c r="C145" s="401"/>
      <c r="D145" s="401"/>
      <c r="E145" s="402"/>
      <c r="F145" s="407"/>
      <c r="G145" s="410"/>
      <c r="H145" s="345" t="str">
        <f>$A$83</f>
        <v>ATOMIC BLASTER</v>
      </c>
      <c r="I145" s="346"/>
      <c r="J145" s="176" t="s">
        <v>121</v>
      </c>
      <c r="K145" s="157">
        <f>$P$35</f>
        <v>791</v>
      </c>
      <c r="L145" s="218">
        <v>1</v>
      </c>
      <c r="M145" s="177">
        <f>K145*L145</f>
        <v>791</v>
      </c>
      <c r="N145" s="177"/>
      <c r="O145" s="178">
        <f t="shared" si="48"/>
        <v>791</v>
      </c>
      <c r="P145" s="209"/>
    </row>
    <row r="146" spans="1:16" s="231" customFormat="1" ht="64.5" customHeight="1">
      <c r="A146" s="142">
        <v>5</v>
      </c>
      <c r="B146" s="400"/>
      <c r="C146" s="401"/>
      <c r="D146" s="401"/>
      <c r="E146" s="402"/>
      <c r="F146" s="407"/>
      <c r="G146" s="410"/>
      <c r="H146" s="345" t="str">
        <f>$A$87</f>
        <v>ROCKET</v>
      </c>
      <c r="I146" s="346"/>
      <c r="J146" s="176" t="s">
        <v>121</v>
      </c>
      <c r="K146" s="157">
        <f>$P$40</f>
        <v>791</v>
      </c>
      <c r="L146" s="218">
        <v>1</v>
      </c>
      <c r="M146" s="177">
        <f t="shared" si="49"/>
        <v>791</v>
      </c>
      <c r="N146" s="177"/>
      <c r="O146" s="178">
        <f t="shared" si="48"/>
        <v>791</v>
      </c>
      <c r="P146" s="209"/>
    </row>
    <row r="147" spans="1:16" s="231" customFormat="1" ht="64.5" customHeight="1">
      <c r="A147" s="142">
        <v>5</v>
      </c>
      <c r="B147" s="400"/>
      <c r="C147" s="401"/>
      <c r="D147" s="401"/>
      <c r="E147" s="402"/>
      <c r="F147" s="407"/>
      <c r="G147" s="410"/>
      <c r="H147" s="345" t="str">
        <f>$A$91</f>
        <v>ALLOY</v>
      </c>
      <c r="I147" s="346"/>
      <c r="J147" s="176" t="s">
        <v>121</v>
      </c>
      <c r="K147" s="157">
        <f>$P$45</f>
        <v>660</v>
      </c>
      <c r="L147" s="218">
        <v>1</v>
      </c>
      <c r="M147" s="177">
        <f>K147*L147</f>
        <v>660</v>
      </c>
      <c r="N147" s="177"/>
      <c r="O147" s="178">
        <f t="shared" si="48"/>
        <v>660</v>
      </c>
      <c r="P147" s="209"/>
    </row>
    <row r="148" spans="1:16" s="231" customFormat="1" ht="64.5" customHeight="1">
      <c r="A148" s="142">
        <v>5</v>
      </c>
      <c r="B148" s="403"/>
      <c r="C148" s="404"/>
      <c r="D148" s="404"/>
      <c r="E148" s="405"/>
      <c r="F148" s="408"/>
      <c r="G148" s="411"/>
      <c r="H148" s="345" t="str">
        <f>$A$95</f>
        <v xml:space="preserve">OPTIC WHITE         </v>
      </c>
      <c r="I148" s="346"/>
      <c r="J148" s="176" t="s">
        <v>121</v>
      </c>
      <c r="K148" s="157">
        <f>$P$50</f>
        <v>660</v>
      </c>
      <c r="L148" s="218">
        <v>1</v>
      </c>
      <c r="M148" s="177">
        <f t="shared" si="49"/>
        <v>660</v>
      </c>
      <c r="N148" s="177"/>
      <c r="O148" s="178">
        <f t="shared" si="48"/>
        <v>660</v>
      </c>
      <c r="P148" s="209"/>
    </row>
    <row r="149" spans="1:16" s="231" customFormat="1" ht="64.5" customHeight="1">
      <c r="A149" s="142">
        <v>6</v>
      </c>
      <c r="B149" s="397" t="s">
        <v>128</v>
      </c>
      <c r="C149" s="398"/>
      <c r="D149" s="398"/>
      <c r="E149" s="399"/>
      <c r="F149" s="406" t="s">
        <v>123</v>
      </c>
      <c r="G149" s="217"/>
      <c r="H149" s="345" t="str">
        <f>$A$71</f>
        <v>DARKEST BLACK</v>
      </c>
      <c r="I149" s="346"/>
      <c r="J149" s="176" t="s">
        <v>121</v>
      </c>
      <c r="K149" s="157">
        <f>$P$20</f>
        <v>1447</v>
      </c>
      <c r="L149" s="218">
        <v>1</v>
      </c>
      <c r="M149" s="230">
        <f>K149*L149</f>
        <v>1447</v>
      </c>
      <c r="N149" s="177"/>
      <c r="O149" s="178">
        <f t="shared" si="48"/>
        <v>1447</v>
      </c>
      <c r="P149" s="212"/>
    </row>
    <row r="150" spans="1:16" s="179" customFormat="1" ht="64.5" customHeight="1">
      <c r="A150" s="142">
        <v>6</v>
      </c>
      <c r="B150" s="400"/>
      <c r="C150" s="401"/>
      <c r="D150" s="401"/>
      <c r="E150" s="402"/>
      <c r="F150" s="407"/>
      <c r="G150" s="217"/>
      <c r="H150" s="345" t="str">
        <f>$A$75</f>
        <v>CANOPY</v>
      </c>
      <c r="I150" s="346"/>
      <c r="J150" s="176" t="s">
        <v>121</v>
      </c>
      <c r="K150" s="157">
        <f>$P$25</f>
        <v>660</v>
      </c>
      <c r="L150" s="218">
        <v>1</v>
      </c>
      <c r="M150" s="177">
        <f t="shared" ref="M150:M169" si="50">K150*L150</f>
        <v>660</v>
      </c>
      <c r="N150" s="177"/>
      <c r="O150" s="178">
        <f t="shared" si="48"/>
        <v>660</v>
      </c>
      <c r="P150" s="212"/>
    </row>
    <row r="151" spans="1:16" s="179" customFormat="1" ht="64.5" customHeight="1">
      <c r="A151" s="142">
        <v>6</v>
      </c>
      <c r="B151" s="400"/>
      <c r="C151" s="401"/>
      <c r="D151" s="401"/>
      <c r="E151" s="402"/>
      <c r="F151" s="407"/>
      <c r="G151" s="217"/>
      <c r="H151" s="345" t="str">
        <f>$A$79</f>
        <v xml:space="preserve">HYPER LILAC         </v>
      </c>
      <c r="I151" s="346"/>
      <c r="J151" s="176" t="s">
        <v>121</v>
      </c>
      <c r="K151" s="157">
        <f>$P$30</f>
        <v>1447</v>
      </c>
      <c r="L151" s="218">
        <v>1</v>
      </c>
      <c r="M151" s="230">
        <f t="shared" si="50"/>
        <v>1447</v>
      </c>
      <c r="N151" s="177"/>
      <c r="O151" s="178">
        <f t="shared" si="48"/>
        <v>1447</v>
      </c>
      <c r="P151" s="212"/>
    </row>
    <row r="152" spans="1:16" s="179" customFormat="1" ht="64.5" customHeight="1">
      <c r="A152" s="142">
        <v>6</v>
      </c>
      <c r="B152" s="400"/>
      <c r="C152" s="401"/>
      <c r="D152" s="401"/>
      <c r="E152" s="402"/>
      <c r="F152" s="407"/>
      <c r="G152" s="217"/>
      <c r="H152" s="345" t="str">
        <f>$A$83</f>
        <v>ATOMIC BLASTER</v>
      </c>
      <c r="I152" s="346"/>
      <c r="J152" s="176" t="s">
        <v>121</v>
      </c>
      <c r="K152" s="157">
        <f>$P$35</f>
        <v>791</v>
      </c>
      <c r="L152" s="218">
        <v>1</v>
      </c>
      <c r="M152" s="177">
        <f t="shared" si="50"/>
        <v>791</v>
      </c>
      <c r="N152" s="177"/>
      <c r="O152" s="178">
        <f t="shared" si="48"/>
        <v>791</v>
      </c>
      <c r="P152" s="212"/>
    </row>
    <row r="153" spans="1:16" s="179" customFormat="1" ht="64.5" customHeight="1">
      <c r="A153" s="142">
        <v>6</v>
      </c>
      <c r="B153" s="400"/>
      <c r="C153" s="401"/>
      <c r="D153" s="401"/>
      <c r="E153" s="402"/>
      <c r="F153" s="407"/>
      <c r="G153" s="217"/>
      <c r="H153" s="345" t="str">
        <f>$A$87</f>
        <v>ROCKET</v>
      </c>
      <c r="I153" s="346"/>
      <c r="J153" s="176" t="s">
        <v>121</v>
      </c>
      <c r="K153" s="157">
        <f>$P$40</f>
        <v>791</v>
      </c>
      <c r="L153" s="218">
        <v>1</v>
      </c>
      <c r="M153" s="177">
        <f t="shared" si="50"/>
        <v>791</v>
      </c>
      <c r="N153" s="177"/>
      <c r="O153" s="178">
        <f t="shared" si="48"/>
        <v>791</v>
      </c>
      <c r="P153" s="212"/>
    </row>
    <row r="154" spans="1:16" s="179" customFormat="1" ht="64.5" customHeight="1">
      <c r="A154" s="142">
        <v>6</v>
      </c>
      <c r="B154" s="400"/>
      <c r="C154" s="401"/>
      <c r="D154" s="401"/>
      <c r="E154" s="402"/>
      <c r="F154" s="407"/>
      <c r="G154" s="217"/>
      <c r="H154" s="345" t="str">
        <f>$A$91</f>
        <v>ALLOY</v>
      </c>
      <c r="I154" s="346"/>
      <c r="J154" s="176" t="s">
        <v>121</v>
      </c>
      <c r="K154" s="157">
        <f>$P$45</f>
        <v>660</v>
      </c>
      <c r="L154" s="218">
        <v>1</v>
      </c>
      <c r="M154" s="177">
        <f t="shared" si="50"/>
        <v>660</v>
      </c>
      <c r="N154" s="177"/>
      <c r="O154" s="178">
        <f t="shared" si="48"/>
        <v>660</v>
      </c>
      <c r="P154" s="212"/>
    </row>
    <row r="155" spans="1:16" s="179" customFormat="1" ht="64.5" customHeight="1">
      <c r="A155" s="142">
        <v>6</v>
      </c>
      <c r="B155" s="403"/>
      <c r="C155" s="404"/>
      <c r="D155" s="404"/>
      <c r="E155" s="405"/>
      <c r="F155" s="408"/>
      <c r="G155" s="217"/>
      <c r="H155" s="345" t="str">
        <f>$A$95</f>
        <v xml:space="preserve">OPTIC WHITE         </v>
      </c>
      <c r="I155" s="346"/>
      <c r="J155" s="157" t="s">
        <v>121</v>
      </c>
      <c r="K155" s="157">
        <f>$P$50</f>
        <v>660</v>
      </c>
      <c r="L155" s="218">
        <v>1</v>
      </c>
      <c r="M155" s="177">
        <f>K155*L155</f>
        <v>660</v>
      </c>
      <c r="N155" s="177"/>
      <c r="O155" s="178">
        <f t="shared" si="48"/>
        <v>660</v>
      </c>
      <c r="P155" s="212"/>
    </row>
    <row r="156" spans="1:16" s="179" customFormat="1" ht="64.5" customHeight="1">
      <c r="A156" s="142">
        <v>7</v>
      </c>
      <c r="B156" s="397" t="s">
        <v>183</v>
      </c>
      <c r="C156" s="398"/>
      <c r="D156" s="398"/>
      <c r="E156" s="399"/>
      <c r="F156" s="406" t="s">
        <v>123</v>
      </c>
      <c r="G156" s="217"/>
      <c r="H156" s="345" t="str">
        <f>$A$71</f>
        <v>DARKEST BLACK</v>
      </c>
      <c r="I156" s="346"/>
      <c r="J156" s="176" t="s">
        <v>121</v>
      </c>
      <c r="K156" s="157">
        <f>$P$20</f>
        <v>1447</v>
      </c>
      <c r="L156" s="218">
        <v>1</v>
      </c>
      <c r="M156" s="230">
        <f>K156*L156</f>
        <v>1447</v>
      </c>
      <c r="N156" s="177"/>
      <c r="O156" s="178">
        <f t="shared" si="48"/>
        <v>1447</v>
      </c>
      <c r="P156" s="388" t="s">
        <v>179</v>
      </c>
    </row>
    <row r="157" spans="1:16" s="179" customFormat="1" ht="64.5" customHeight="1">
      <c r="A157" s="142">
        <v>7</v>
      </c>
      <c r="B157" s="400"/>
      <c r="C157" s="401"/>
      <c r="D157" s="401"/>
      <c r="E157" s="402"/>
      <c r="F157" s="407"/>
      <c r="G157" s="217"/>
      <c r="H157" s="345" t="str">
        <f>$A$75</f>
        <v>CANOPY</v>
      </c>
      <c r="I157" s="346"/>
      <c r="J157" s="176" t="s">
        <v>121</v>
      </c>
      <c r="K157" s="157">
        <f>$P$25</f>
        <v>660</v>
      </c>
      <c r="L157" s="218">
        <v>1</v>
      </c>
      <c r="M157" s="177">
        <f>K157*L157</f>
        <v>660</v>
      </c>
      <c r="N157" s="177"/>
      <c r="O157" s="178">
        <f t="shared" si="48"/>
        <v>660</v>
      </c>
      <c r="P157" s="389"/>
    </row>
    <row r="158" spans="1:16" s="179" customFormat="1" ht="64.5" customHeight="1">
      <c r="A158" s="142">
        <v>7</v>
      </c>
      <c r="B158" s="400"/>
      <c r="C158" s="401"/>
      <c r="D158" s="401"/>
      <c r="E158" s="402"/>
      <c r="F158" s="407"/>
      <c r="G158" s="217"/>
      <c r="H158" s="345" t="str">
        <f>$A$79</f>
        <v xml:space="preserve">HYPER LILAC         </v>
      </c>
      <c r="I158" s="346"/>
      <c r="J158" s="176" t="s">
        <v>121</v>
      </c>
      <c r="K158" s="157">
        <f>$P$30</f>
        <v>1447</v>
      </c>
      <c r="L158" s="218">
        <v>1</v>
      </c>
      <c r="M158" s="230">
        <f>K158*L158</f>
        <v>1447</v>
      </c>
      <c r="N158" s="177"/>
      <c r="O158" s="178">
        <f t="shared" si="48"/>
        <v>1447</v>
      </c>
      <c r="P158" s="389"/>
    </row>
    <row r="159" spans="1:16" s="179" customFormat="1" ht="64.5" customHeight="1">
      <c r="A159" s="142">
        <v>7</v>
      </c>
      <c r="B159" s="400"/>
      <c r="C159" s="401"/>
      <c r="D159" s="401"/>
      <c r="E159" s="402"/>
      <c r="F159" s="407"/>
      <c r="G159" s="217"/>
      <c r="H159" s="345" t="str">
        <f>$A$83</f>
        <v>ATOMIC BLASTER</v>
      </c>
      <c r="I159" s="346"/>
      <c r="J159" s="176" t="s">
        <v>121</v>
      </c>
      <c r="K159" s="157">
        <f>$P$35</f>
        <v>791</v>
      </c>
      <c r="L159" s="218">
        <v>1</v>
      </c>
      <c r="M159" s="177">
        <f>K159*L159</f>
        <v>791</v>
      </c>
      <c r="N159" s="177"/>
      <c r="O159" s="178">
        <f t="shared" si="48"/>
        <v>791</v>
      </c>
      <c r="P159" s="389"/>
    </row>
    <row r="160" spans="1:16" s="179" customFormat="1" ht="64.5" customHeight="1">
      <c r="A160" s="142">
        <v>7</v>
      </c>
      <c r="B160" s="400"/>
      <c r="C160" s="401"/>
      <c r="D160" s="401"/>
      <c r="E160" s="402"/>
      <c r="F160" s="407"/>
      <c r="G160" s="217"/>
      <c r="H160" s="345" t="str">
        <f>$A$87</f>
        <v>ROCKET</v>
      </c>
      <c r="I160" s="346"/>
      <c r="J160" s="176" t="s">
        <v>121</v>
      </c>
      <c r="K160" s="157">
        <f>$P$40</f>
        <v>791</v>
      </c>
      <c r="L160" s="218">
        <v>1</v>
      </c>
      <c r="M160" s="177">
        <f t="shared" si="50"/>
        <v>791</v>
      </c>
      <c r="N160" s="177"/>
      <c r="O160" s="178">
        <f t="shared" ref="O160:O169" si="51">SUM(M160:N160)</f>
        <v>791</v>
      </c>
      <c r="P160" s="389"/>
    </row>
    <row r="161" spans="1:16" s="179" customFormat="1" ht="64.5" customHeight="1">
      <c r="A161" s="142">
        <v>7</v>
      </c>
      <c r="B161" s="400"/>
      <c r="C161" s="401"/>
      <c r="D161" s="401"/>
      <c r="E161" s="402"/>
      <c r="F161" s="407"/>
      <c r="G161" s="217"/>
      <c r="H161" s="345" t="str">
        <f>$A$91</f>
        <v>ALLOY</v>
      </c>
      <c r="I161" s="346"/>
      <c r="J161" s="176" t="s">
        <v>121</v>
      </c>
      <c r="K161" s="157">
        <f>$P$45</f>
        <v>660</v>
      </c>
      <c r="L161" s="218">
        <v>1</v>
      </c>
      <c r="M161" s="177">
        <f>K161*L161</f>
        <v>660</v>
      </c>
      <c r="N161" s="177"/>
      <c r="O161" s="178">
        <f>SUM(M161:N161)</f>
        <v>660</v>
      </c>
      <c r="P161" s="389"/>
    </row>
    <row r="162" spans="1:16" s="179" customFormat="1" ht="64.5" customHeight="1">
      <c r="A162" s="142">
        <v>7</v>
      </c>
      <c r="B162" s="403"/>
      <c r="C162" s="404"/>
      <c r="D162" s="404"/>
      <c r="E162" s="405"/>
      <c r="F162" s="408"/>
      <c r="G162" s="217"/>
      <c r="H162" s="345" t="str">
        <f>$A$95</f>
        <v xml:space="preserve">OPTIC WHITE         </v>
      </c>
      <c r="I162" s="346"/>
      <c r="J162" s="157" t="s">
        <v>121</v>
      </c>
      <c r="K162" s="157">
        <f>$P$50</f>
        <v>660</v>
      </c>
      <c r="L162" s="218">
        <v>1</v>
      </c>
      <c r="M162" s="177">
        <f t="shared" si="50"/>
        <v>660</v>
      </c>
      <c r="N162" s="177"/>
      <c r="O162" s="178">
        <f t="shared" si="51"/>
        <v>660</v>
      </c>
      <c r="P162" s="390"/>
    </row>
    <row r="163" spans="1:16" s="179" customFormat="1" ht="64.5" customHeight="1">
      <c r="A163" s="142">
        <v>8</v>
      </c>
      <c r="B163" s="418" t="s">
        <v>184</v>
      </c>
      <c r="C163" s="418"/>
      <c r="D163" s="418"/>
      <c r="E163" s="418"/>
      <c r="F163" s="220" t="str">
        <f>H163</f>
        <v>DARKEST BLACK</v>
      </c>
      <c r="G163" s="216"/>
      <c r="H163" s="345" t="str">
        <f>$A$71</f>
        <v>DARKEST BLACK</v>
      </c>
      <c r="I163" s="346"/>
      <c r="J163" s="176" t="s">
        <v>121</v>
      </c>
      <c r="K163" s="157">
        <f>$P$20</f>
        <v>1447</v>
      </c>
      <c r="L163" s="218">
        <v>1</v>
      </c>
      <c r="M163" s="230">
        <f t="shared" si="50"/>
        <v>1447</v>
      </c>
      <c r="N163" s="177"/>
      <c r="O163" s="178">
        <f t="shared" si="51"/>
        <v>1447</v>
      </c>
      <c r="P163" s="212"/>
    </row>
    <row r="164" spans="1:16" s="179" customFormat="1" ht="64.5" customHeight="1">
      <c r="A164" s="142">
        <v>8</v>
      </c>
      <c r="B164" s="418"/>
      <c r="C164" s="418"/>
      <c r="D164" s="418"/>
      <c r="E164" s="418"/>
      <c r="F164" s="220" t="str">
        <f t="shared" ref="F164:F169" si="52">H164</f>
        <v>CANOPY</v>
      </c>
      <c r="G164" s="216"/>
      <c r="H164" s="345" t="str">
        <f>$A$75</f>
        <v>CANOPY</v>
      </c>
      <c r="I164" s="346"/>
      <c r="J164" s="176" t="s">
        <v>121</v>
      </c>
      <c r="K164" s="157">
        <f>$P$25</f>
        <v>660</v>
      </c>
      <c r="L164" s="218">
        <v>1</v>
      </c>
      <c r="M164" s="177">
        <f t="shared" si="50"/>
        <v>660</v>
      </c>
      <c r="N164" s="177"/>
      <c r="O164" s="178">
        <f t="shared" si="51"/>
        <v>660</v>
      </c>
      <c r="P164" s="212"/>
    </row>
    <row r="165" spans="1:16" s="179" customFormat="1" ht="64.5" customHeight="1">
      <c r="A165" s="142">
        <v>8</v>
      </c>
      <c r="B165" s="418"/>
      <c r="C165" s="418"/>
      <c r="D165" s="418"/>
      <c r="E165" s="418"/>
      <c r="F165" s="220" t="str">
        <f t="shared" si="52"/>
        <v xml:space="preserve">HYPER LILAC         </v>
      </c>
      <c r="G165" s="216"/>
      <c r="H165" s="345" t="str">
        <f>$A$79</f>
        <v xml:space="preserve">HYPER LILAC         </v>
      </c>
      <c r="I165" s="346"/>
      <c r="J165" s="176" t="s">
        <v>121</v>
      </c>
      <c r="K165" s="157">
        <f>$P$30</f>
        <v>1447</v>
      </c>
      <c r="L165" s="218">
        <v>1</v>
      </c>
      <c r="M165" s="230">
        <f t="shared" si="50"/>
        <v>1447</v>
      </c>
      <c r="N165" s="177"/>
      <c r="O165" s="178">
        <f t="shared" si="51"/>
        <v>1447</v>
      </c>
      <c r="P165" s="212"/>
    </row>
    <row r="166" spans="1:16" s="179" customFormat="1" ht="64.5" customHeight="1">
      <c r="A166" s="142">
        <v>8</v>
      </c>
      <c r="B166" s="418"/>
      <c r="C166" s="418"/>
      <c r="D166" s="418"/>
      <c r="E166" s="418"/>
      <c r="F166" s="220" t="str">
        <f t="shared" si="52"/>
        <v>ATOMIC BLASTER</v>
      </c>
      <c r="G166" s="216"/>
      <c r="H166" s="345" t="str">
        <f>$A$83</f>
        <v>ATOMIC BLASTER</v>
      </c>
      <c r="I166" s="346"/>
      <c r="J166" s="176" t="s">
        <v>121</v>
      </c>
      <c r="K166" s="157">
        <f>$P$35</f>
        <v>791</v>
      </c>
      <c r="L166" s="218">
        <v>1</v>
      </c>
      <c r="M166" s="177">
        <f t="shared" si="50"/>
        <v>791</v>
      </c>
      <c r="N166" s="177"/>
      <c r="O166" s="178">
        <f t="shared" si="51"/>
        <v>791</v>
      </c>
      <c r="P166" s="212"/>
    </row>
    <row r="167" spans="1:16" s="179" customFormat="1" ht="64.5" customHeight="1">
      <c r="A167" s="142">
        <v>8</v>
      </c>
      <c r="B167" s="418"/>
      <c r="C167" s="418"/>
      <c r="D167" s="418"/>
      <c r="E167" s="418"/>
      <c r="F167" s="220" t="str">
        <f t="shared" si="52"/>
        <v>ROCKET</v>
      </c>
      <c r="G167" s="220"/>
      <c r="H167" s="345" t="str">
        <f>$A$87</f>
        <v>ROCKET</v>
      </c>
      <c r="I167" s="346"/>
      <c r="J167" s="176" t="s">
        <v>121</v>
      </c>
      <c r="K167" s="157">
        <f>$P$40</f>
        <v>791</v>
      </c>
      <c r="L167" s="218">
        <v>1</v>
      </c>
      <c r="M167" s="177">
        <f t="shared" si="50"/>
        <v>791</v>
      </c>
      <c r="N167" s="177"/>
      <c r="O167" s="178">
        <f t="shared" si="51"/>
        <v>791</v>
      </c>
      <c r="P167" s="212"/>
    </row>
    <row r="168" spans="1:16" s="179" customFormat="1" ht="64.5" customHeight="1">
      <c r="A168" s="142">
        <v>8</v>
      </c>
      <c r="B168" s="418"/>
      <c r="C168" s="418"/>
      <c r="D168" s="418"/>
      <c r="E168" s="418"/>
      <c r="F168" s="220" t="str">
        <f t="shared" si="52"/>
        <v>ALLOY</v>
      </c>
      <c r="G168" s="220"/>
      <c r="H168" s="345" t="str">
        <f>$A$91</f>
        <v>ALLOY</v>
      </c>
      <c r="I168" s="346"/>
      <c r="J168" s="176" t="s">
        <v>121</v>
      </c>
      <c r="K168" s="157">
        <f>$P$45</f>
        <v>660</v>
      </c>
      <c r="L168" s="176">
        <v>1</v>
      </c>
      <c r="M168" s="177">
        <f t="shared" ref="M168" si="53">K168*L168</f>
        <v>660</v>
      </c>
      <c r="N168" s="177"/>
      <c r="O168" s="178">
        <f t="shared" ref="O168" si="54">SUM(M168:N168)</f>
        <v>660</v>
      </c>
      <c r="P168" s="212"/>
    </row>
    <row r="169" spans="1:16" s="179" customFormat="1" ht="64.5" customHeight="1">
      <c r="A169" s="142">
        <v>8</v>
      </c>
      <c r="B169" s="418"/>
      <c r="C169" s="418"/>
      <c r="D169" s="418"/>
      <c r="E169" s="418"/>
      <c r="F169" s="220" t="str">
        <f t="shared" si="52"/>
        <v xml:space="preserve">OPTIC WHITE         </v>
      </c>
      <c r="G169" s="213"/>
      <c r="H169" s="345" t="str">
        <f>$A$95</f>
        <v xml:space="preserve">OPTIC WHITE         </v>
      </c>
      <c r="I169" s="346"/>
      <c r="J169" s="157" t="s">
        <v>121</v>
      </c>
      <c r="K169" s="157">
        <f>$P$50</f>
        <v>660</v>
      </c>
      <c r="L169" s="218">
        <v>1</v>
      </c>
      <c r="M169" s="177">
        <f t="shared" si="50"/>
        <v>660</v>
      </c>
      <c r="N169" s="177"/>
      <c r="O169" s="178">
        <f t="shared" si="51"/>
        <v>660</v>
      </c>
      <c r="P169" s="212"/>
    </row>
    <row r="170" spans="1:16" s="58" customFormat="1" ht="20.25" customHeight="1">
      <c r="A170" s="55"/>
      <c r="B170" s="55"/>
      <c r="C170" s="55"/>
      <c r="D170" s="55"/>
      <c r="E170" s="55"/>
      <c r="F170" s="55"/>
      <c r="G170" s="59"/>
      <c r="H170" s="55"/>
      <c r="I170" s="55"/>
      <c r="J170" s="55"/>
      <c r="K170" s="55"/>
      <c r="L170" s="55"/>
      <c r="M170" s="55"/>
      <c r="N170" s="55"/>
      <c r="O170" s="55"/>
      <c r="P170" s="55"/>
    </row>
    <row r="171" spans="1:16" s="60" customFormat="1" ht="33" customHeight="1" thickBot="1">
      <c r="B171" s="136" t="s">
        <v>63</v>
      </c>
      <c r="C171" s="61"/>
      <c r="D171" s="61"/>
      <c r="E171" s="180"/>
      <c r="F171" s="181"/>
      <c r="G171" s="182"/>
      <c r="H171" s="181"/>
      <c r="I171" s="181"/>
      <c r="J171" s="181"/>
      <c r="K171" s="181"/>
      <c r="L171" s="181"/>
      <c r="M171" s="181"/>
      <c r="N171" s="181"/>
      <c r="O171" s="181"/>
      <c r="P171" s="183"/>
    </row>
    <row r="172" spans="1:16" s="74" customFormat="1" ht="96">
      <c r="A172" s="348" t="s">
        <v>23</v>
      </c>
      <c r="B172" s="349"/>
      <c r="C172" s="349"/>
      <c r="D172" s="349"/>
      <c r="E172" s="350"/>
      <c r="F172" s="122" t="s">
        <v>45</v>
      </c>
      <c r="G172" s="122" t="s">
        <v>24</v>
      </c>
      <c r="H172" s="351" t="s">
        <v>40</v>
      </c>
      <c r="I172" s="352"/>
      <c r="J172" s="123" t="s">
        <v>19</v>
      </c>
      <c r="K172" s="122" t="s">
        <v>46</v>
      </c>
      <c r="L172" s="122" t="s">
        <v>25</v>
      </c>
      <c r="M172" s="124" t="s">
        <v>26</v>
      </c>
      <c r="N172" s="124" t="s">
        <v>27</v>
      </c>
      <c r="O172" s="124" t="s">
        <v>28</v>
      </c>
      <c r="P172" s="124" t="s">
        <v>29</v>
      </c>
    </row>
    <row r="173" spans="1:16" s="156" customFormat="1" ht="58.5" customHeight="1">
      <c r="A173" s="142">
        <v>1</v>
      </c>
      <c r="B173" s="377" t="s">
        <v>129</v>
      </c>
      <c r="C173" s="378"/>
      <c r="D173" s="378"/>
      <c r="E173" s="379"/>
      <c r="F173" s="374" t="s">
        <v>38</v>
      </c>
      <c r="G173" s="391" t="s">
        <v>185</v>
      </c>
      <c r="H173" s="345" t="str">
        <f>$A$71</f>
        <v>DARKEST BLACK</v>
      </c>
      <c r="I173" s="346"/>
      <c r="J173" s="157" t="s">
        <v>121</v>
      </c>
      <c r="K173" s="157">
        <f>$P$20</f>
        <v>1447</v>
      </c>
      <c r="L173" s="153">
        <v>1</v>
      </c>
      <c r="M173" s="157">
        <f>K173*L173</f>
        <v>1447</v>
      </c>
      <c r="N173" s="154"/>
      <c r="O173" s="155">
        <f>ROUNDUP(SUM(M173:N173),0)</f>
        <v>1447</v>
      </c>
      <c r="P173" s="160"/>
    </row>
    <row r="174" spans="1:16" s="156" customFormat="1" ht="58.5" customHeight="1">
      <c r="A174" s="142">
        <v>1</v>
      </c>
      <c r="B174" s="380"/>
      <c r="C174" s="381"/>
      <c r="D174" s="381"/>
      <c r="E174" s="382"/>
      <c r="F174" s="375"/>
      <c r="G174" s="392"/>
      <c r="H174" s="345" t="str">
        <f>$A$75</f>
        <v>CANOPY</v>
      </c>
      <c r="I174" s="346"/>
      <c r="J174" s="157" t="s">
        <v>121</v>
      </c>
      <c r="K174" s="157">
        <f>$P$25</f>
        <v>660</v>
      </c>
      <c r="L174" s="153">
        <v>1</v>
      </c>
      <c r="M174" s="157">
        <f>K174*L174</f>
        <v>660</v>
      </c>
      <c r="N174" s="154"/>
      <c r="O174" s="155">
        <f>ROUNDUP(SUM(M174:N174),0)</f>
        <v>660</v>
      </c>
      <c r="P174" s="160"/>
    </row>
    <row r="175" spans="1:16" s="156" customFormat="1" ht="58.5" customHeight="1">
      <c r="A175" s="142">
        <v>1</v>
      </c>
      <c r="B175" s="380"/>
      <c r="C175" s="381"/>
      <c r="D175" s="381"/>
      <c r="E175" s="382"/>
      <c r="F175" s="375"/>
      <c r="G175" s="392"/>
      <c r="H175" s="345" t="str">
        <f>$A$79</f>
        <v xml:space="preserve">HYPER LILAC         </v>
      </c>
      <c r="I175" s="346"/>
      <c r="J175" s="157" t="s">
        <v>121</v>
      </c>
      <c r="K175" s="157">
        <f>$P$30</f>
        <v>1447</v>
      </c>
      <c r="L175" s="153">
        <v>1</v>
      </c>
      <c r="M175" s="157">
        <f>K175*L175</f>
        <v>1447</v>
      </c>
      <c r="N175" s="154"/>
      <c r="O175" s="155">
        <f>ROUNDUP(SUM(M175:N175),0)</f>
        <v>1447</v>
      </c>
      <c r="P175" s="160"/>
    </row>
    <row r="176" spans="1:16" s="156" customFormat="1" ht="58.5" customHeight="1">
      <c r="A176" s="142">
        <v>1</v>
      </c>
      <c r="B176" s="380"/>
      <c r="C176" s="381"/>
      <c r="D176" s="381"/>
      <c r="E176" s="382"/>
      <c r="F176" s="375"/>
      <c r="G176" s="392"/>
      <c r="H176" s="345" t="str">
        <f>$A$83</f>
        <v>ATOMIC BLASTER</v>
      </c>
      <c r="I176" s="346"/>
      <c r="J176" s="157" t="s">
        <v>121</v>
      </c>
      <c r="K176" s="157">
        <f>$P$35</f>
        <v>791</v>
      </c>
      <c r="L176" s="153">
        <v>1</v>
      </c>
      <c r="M176" s="157">
        <f>K176*L176</f>
        <v>791</v>
      </c>
      <c r="N176" s="154"/>
      <c r="O176" s="155">
        <f>ROUNDUP(SUM(M176:N176),0)</f>
        <v>791</v>
      </c>
      <c r="P176" s="160"/>
    </row>
    <row r="177" spans="1:16" s="156" customFormat="1" ht="58.5" customHeight="1">
      <c r="A177" s="142">
        <v>1</v>
      </c>
      <c r="B177" s="380"/>
      <c r="C177" s="381"/>
      <c r="D177" s="381"/>
      <c r="E177" s="382"/>
      <c r="F177" s="375"/>
      <c r="G177" s="392"/>
      <c r="H177" s="345" t="str">
        <f>$A$87</f>
        <v>ROCKET</v>
      </c>
      <c r="I177" s="346"/>
      <c r="J177" s="157" t="s">
        <v>121</v>
      </c>
      <c r="K177" s="157">
        <f>$P$40</f>
        <v>791</v>
      </c>
      <c r="L177" s="153">
        <v>1</v>
      </c>
      <c r="M177" s="157">
        <f>K177*L177</f>
        <v>791</v>
      </c>
      <c r="N177" s="154"/>
      <c r="O177" s="155">
        <f t="shared" ref="O177:O228" si="55">ROUNDUP(SUM(M177:N177),0)</f>
        <v>791</v>
      </c>
      <c r="P177" s="160"/>
    </row>
    <row r="178" spans="1:16" s="156" customFormat="1" ht="58.5" customHeight="1">
      <c r="A178" s="142">
        <v>1</v>
      </c>
      <c r="B178" s="380"/>
      <c r="C178" s="381"/>
      <c r="D178" s="381"/>
      <c r="E178" s="382"/>
      <c r="F178" s="375"/>
      <c r="G178" s="392"/>
      <c r="H178" s="345" t="str">
        <f>$A$91</f>
        <v>ALLOY</v>
      </c>
      <c r="I178" s="346"/>
      <c r="J178" s="157" t="s">
        <v>121</v>
      </c>
      <c r="K178" s="157">
        <f>$P$45</f>
        <v>660</v>
      </c>
      <c r="L178" s="153">
        <v>1</v>
      </c>
      <c r="M178" s="157">
        <f t="shared" ref="M178" si="56">K178*L178</f>
        <v>660</v>
      </c>
      <c r="N178" s="154"/>
      <c r="O178" s="155">
        <f t="shared" ref="O178" si="57">ROUNDUP(SUM(M178:N178),0)</f>
        <v>660</v>
      </c>
      <c r="P178" s="160"/>
    </row>
    <row r="179" spans="1:16" s="156" customFormat="1" ht="58.5" customHeight="1">
      <c r="A179" s="142">
        <v>1</v>
      </c>
      <c r="B179" s="383"/>
      <c r="C179" s="384"/>
      <c r="D179" s="384"/>
      <c r="E179" s="385"/>
      <c r="F179" s="376"/>
      <c r="G179" s="393"/>
      <c r="H179" s="345" t="str">
        <f>$A$95</f>
        <v xml:space="preserve">OPTIC WHITE         </v>
      </c>
      <c r="I179" s="346"/>
      <c r="J179" s="157" t="s">
        <v>121</v>
      </c>
      <c r="K179" s="157">
        <f>$P$50</f>
        <v>660</v>
      </c>
      <c r="L179" s="153">
        <v>1</v>
      </c>
      <c r="M179" s="157">
        <f t="shared" ref="M179:M228" si="58">K179*L179</f>
        <v>660</v>
      </c>
      <c r="N179" s="154"/>
      <c r="O179" s="155">
        <f t="shared" si="55"/>
        <v>660</v>
      </c>
      <c r="P179" s="160"/>
    </row>
    <row r="180" spans="1:16" s="156" customFormat="1" ht="58.5" customHeight="1">
      <c r="A180" s="142">
        <v>2</v>
      </c>
      <c r="B180" s="377" t="s">
        <v>130</v>
      </c>
      <c r="C180" s="378"/>
      <c r="D180" s="378"/>
      <c r="E180" s="379"/>
      <c r="F180" s="374" t="s">
        <v>38</v>
      </c>
      <c r="G180" s="214"/>
      <c r="H180" s="345" t="str">
        <f>$A$71</f>
        <v>DARKEST BLACK</v>
      </c>
      <c r="I180" s="346"/>
      <c r="J180" s="157" t="s">
        <v>121</v>
      </c>
      <c r="K180" s="157">
        <f>$P$20</f>
        <v>1447</v>
      </c>
      <c r="L180" s="153">
        <v>1</v>
      </c>
      <c r="M180" s="157">
        <f t="shared" si="58"/>
        <v>1447</v>
      </c>
      <c r="N180" s="154"/>
      <c r="O180" s="155">
        <f t="shared" si="55"/>
        <v>1447</v>
      </c>
      <c r="P180" s="394" t="s">
        <v>186</v>
      </c>
    </row>
    <row r="181" spans="1:16" s="156" customFormat="1" ht="58.5" customHeight="1">
      <c r="A181" s="142">
        <v>2</v>
      </c>
      <c r="B181" s="380"/>
      <c r="C181" s="381"/>
      <c r="D181" s="381"/>
      <c r="E181" s="382"/>
      <c r="F181" s="375"/>
      <c r="G181" s="214"/>
      <c r="H181" s="345" t="str">
        <f>$A$75</f>
        <v>CANOPY</v>
      </c>
      <c r="I181" s="346"/>
      <c r="J181" s="157" t="s">
        <v>121</v>
      </c>
      <c r="K181" s="157">
        <f>$P$25</f>
        <v>660</v>
      </c>
      <c r="L181" s="153">
        <v>1</v>
      </c>
      <c r="M181" s="157">
        <f t="shared" si="58"/>
        <v>660</v>
      </c>
      <c r="N181" s="154"/>
      <c r="O181" s="155">
        <f t="shared" si="55"/>
        <v>660</v>
      </c>
      <c r="P181" s="395"/>
    </row>
    <row r="182" spans="1:16" s="156" customFormat="1" ht="58.5" customHeight="1">
      <c r="A182" s="142">
        <v>2</v>
      </c>
      <c r="B182" s="380"/>
      <c r="C182" s="381"/>
      <c r="D182" s="381"/>
      <c r="E182" s="382"/>
      <c r="F182" s="375"/>
      <c r="G182" s="214"/>
      <c r="H182" s="345" t="str">
        <f>$A$79</f>
        <v xml:space="preserve">HYPER LILAC         </v>
      </c>
      <c r="I182" s="346"/>
      <c r="J182" s="157" t="s">
        <v>121</v>
      </c>
      <c r="K182" s="157">
        <f>$P$30</f>
        <v>1447</v>
      </c>
      <c r="L182" s="153">
        <v>1</v>
      </c>
      <c r="M182" s="157">
        <f>K182*L182</f>
        <v>1447</v>
      </c>
      <c r="N182" s="154"/>
      <c r="O182" s="155">
        <f>ROUNDUP(SUM(M182:N182),0)</f>
        <v>1447</v>
      </c>
      <c r="P182" s="395"/>
    </row>
    <row r="183" spans="1:16" s="156" customFormat="1" ht="58.5" customHeight="1">
      <c r="A183" s="142">
        <v>2</v>
      </c>
      <c r="B183" s="380"/>
      <c r="C183" s="381"/>
      <c r="D183" s="381"/>
      <c r="E183" s="382"/>
      <c r="F183" s="375"/>
      <c r="G183" s="214"/>
      <c r="H183" s="345" t="str">
        <f>$A$83</f>
        <v>ATOMIC BLASTER</v>
      </c>
      <c r="I183" s="346"/>
      <c r="J183" s="157" t="s">
        <v>121</v>
      </c>
      <c r="K183" s="157">
        <f>$P$35</f>
        <v>791</v>
      </c>
      <c r="L183" s="153">
        <v>1</v>
      </c>
      <c r="M183" s="157">
        <f>K183*L183</f>
        <v>791</v>
      </c>
      <c r="N183" s="154"/>
      <c r="O183" s="155">
        <f>ROUNDUP(SUM(M183:N183),0)</f>
        <v>791</v>
      </c>
      <c r="P183" s="395"/>
    </row>
    <row r="184" spans="1:16" s="156" customFormat="1" ht="58.5" customHeight="1">
      <c r="A184" s="142">
        <v>2</v>
      </c>
      <c r="B184" s="380"/>
      <c r="C184" s="381"/>
      <c r="D184" s="381"/>
      <c r="E184" s="382"/>
      <c r="F184" s="375"/>
      <c r="G184" s="214"/>
      <c r="H184" s="345" t="str">
        <f>$A$87</f>
        <v>ROCKET</v>
      </c>
      <c r="I184" s="346"/>
      <c r="J184" s="157" t="s">
        <v>121</v>
      </c>
      <c r="K184" s="157">
        <f>$P$40</f>
        <v>791</v>
      </c>
      <c r="L184" s="153">
        <v>1</v>
      </c>
      <c r="M184" s="157">
        <f t="shared" si="58"/>
        <v>791</v>
      </c>
      <c r="N184" s="154"/>
      <c r="O184" s="155">
        <f t="shared" si="55"/>
        <v>791</v>
      </c>
      <c r="P184" s="395"/>
    </row>
    <row r="185" spans="1:16" s="156" customFormat="1" ht="58.5" customHeight="1">
      <c r="A185" s="142">
        <v>2</v>
      </c>
      <c r="B185" s="380"/>
      <c r="C185" s="381"/>
      <c r="D185" s="381"/>
      <c r="E185" s="382"/>
      <c r="F185" s="375"/>
      <c r="G185" s="214"/>
      <c r="H185" s="345" t="str">
        <f>$A$91</f>
        <v>ALLOY</v>
      </c>
      <c r="I185" s="346"/>
      <c r="J185" s="157" t="s">
        <v>121</v>
      </c>
      <c r="K185" s="157">
        <f>$P$45</f>
        <v>660</v>
      </c>
      <c r="L185" s="153">
        <v>1</v>
      </c>
      <c r="M185" s="157">
        <f t="shared" ref="M185" si="59">K185*L185</f>
        <v>660</v>
      </c>
      <c r="N185" s="154"/>
      <c r="O185" s="155">
        <f t="shared" ref="O185" si="60">ROUNDUP(SUM(M185:N185),0)</f>
        <v>660</v>
      </c>
      <c r="P185" s="395"/>
    </row>
    <row r="186" spans="1:16" s="156" customFormat="1" ht="58.5" customHeight="1">
      <c r="A186" s="142">
        <v>2</v>
      </c>
      <c r="B186" s="383"/>
      <c r="C186" s="384"/>
      <c r="D186" s="384"/>
      <c r="E186" s="385"/>
      <c r="F186" s="376"/>
      <c r="G186" s="214"/>
      <c r="H186" s="345" t="str">
        <f>$A$95</f>
        <v xml:space="preserve">OPTIC WHITE         </v>
      </c>
      <c r="I186" s="346"/>
      <c r="J186" s="157" t="s">
        <v>121</v>
      </c>
      <c r="K186" s="157">
        <f>$P$50</f>
        <v>660</v>
      </c>
      <c r="L186" s="153">
        <v>1</v>
      </c>
      <c r="M186" s="157">
        <f t="shared" si="58"/>
        <v>660</v>
      </c>
      <c r="N186" s="154"/>
      <c r="O186" s="155">
        <f t="shared" si="55"/>
        <v>660</v>
      </c>
      <c r="P186" s="396"/>
    </row>
    <row r="187" spans="1:16" s="156" customFormat="1" ht="58.5" customHeight="1">
      <c r="A187" s="142">
        <v>3</v>
      </c>
      <c r="B187" s="377" t="s">
        <v>131</v>
      </c>
      <c r="C187" s="378"/>
      <c r="D187" s="378"/>
      <c r="E187" s="379"/>
      <c r="F187" s="374" t="s">
        <v>38</v>
      </c>
      <c r="G187" s="214"/>
      <c r="H187" s="345" t="str">
        <f>$A$71</f>
        <v>DARKEST BLACK</v>
      </c>
      <c r="I187" s="346"/>
      <c r="J187" s="157" t="s">
        <v>121</v>
      </c>
      <c r="K187" s="157">
        <f>$P$20</f>
        <v>1447</v>
      </c>
      <c r="L187" s="153">
        <v>1</v>
      </c>
      <c r="M187" s="157">
        <f t="shared" si="58"/>
        <v>1447</v>
      </c>
      <c r="N187" s="154"/>
      <c r="O187" s="155">
        <f t="shared" si="55"/>
        <v>1447</v>
      </c>
      <c r="P187" s="394" t="s">
        <v>159</v>
      </c>
    </row>
    <row r="188" spans="1:16" s="156" customFormat="1" ht="58.5" customHeight="1">
      <c r="A188" s="142">
        <v>3</v>
      </c>
      <c r="B188" s="380"/>
      <c r="C188" s="381"/>
      <c r="D188" s="381"/>
      <c r="E188" s="382"/>
      <c r="F188" s="375"/>
      <c r="G188" s="214"/>
      <c r="H188" s="345" t="str">
        <f>$A$75</f>
        <v>CANOPY</v>
      </c>
      <c r="I188" s="346"/>
      <c r="J188" s="157" t="s">
        <v>121</v>
      </c>
      <c r="K188" s="157">
        <f>$P$25</f>
        <v>660</v>
      </c>
      <c r="L188" s="153">
        <v>1</v>
      </c>
      <c r="M188" s="157">
        <f t="shared" si="58"/>
        <v>660</v>
      </c>
      <c r="N188" s="154"/>
      <c r="O188" s="155">
        <f t="shared" si="55"/>
        <v>660</v>
      </c>
      <c r="P188" s="395"/>
    </row>
    <row r="189" spans="1:16" s="156" customFormat="1" ht="58.5" customHeight="1">
      <c r="A189" s="142">
        <v>3</v>
      </c>
      <c r="B189" s="380"/>
      <c r="C189" s="381"/>
      <c r="D189" s="381"/>
      <c r="E189" s="382"/>
      <c r="F189" s="375"/>
      <c r="G189" s="214"/>
      <c r="H189" s="345" t="str">
        <f>$A$79</f>
        <v xml:space="preserve">HYPER LILAC         </v>
      </c>
      <c r="I189" s="346"/>
      <c r="J189" s="157" t="s">
        <v>121</v>
      </c>
      <c r="K189" s="157">
        <f>$P$30</f>
        <v>1447</v>
      </c>
      <c r="L189" s="153">
        <v>1</v>
      </c>
      <c r="M189" s="157">
        <f>K189*L189</f>
        <v>1447</v>
      </c>
      <c r="N189" s="154"/>
      <c r="O189" s="155">
        <f>ROUNDUP(SUM(M189:N189),0)</f>
        <v>1447</v>
      </c>
      <c r="P189" s="395"/>
    </row>
    <row r="190" spans="1:16" s="156" customFormat="1" ht="58.5" customHeight="1">
      <c r="A190" s="142">
        <v>3</v>
      </c>
      <c r="B190" s="380"/>
      <c r="C190" s="381"/>
      <c r="D190" s="381"/>
      <c r="E190" s="382"/>
      <c r="F190" s="375"/>
      <c r="G190" s="214"/>
      <c r="H190" s="345" t="str">
        <f>$A$83</f>
        <v>ATOMIC BLASTER</v>
      </c>
      <c r="I190" s="346"/>
      <c r="J190" s="157" t="s">
        <v>121</v>
      </c>
      <c r="K190" s="157">
        <f>$P$35</f>
        <v>791</v>
      </c>
      <c r="L190" s="153">
        <v>1</v>
      </c>
      <c r="M190" s="157">
        <f>K190*L190</f>
        <v>791</v>
      </c>
      <c r="N190" s="154"/>
      <c r="O190" s="155">
        <f>ROUNDUP(SUM(M190:N190),0)</f>
        <v>791</v>
      </c>
      <c r="P190" s="395"/>
    </row>
    <row r="191" spans="1:16" s="156" customFormat="1" ht="58.5" customHeight="1">
      <c r="A191" s="142">
        <v>3</v>
      </c>
      <c r="B191" s="380"/>
      <c r="C191" s="381"/>
      <c r="D191" s="381"/>
      <c r="E191" s="382"/>
      <c r="F191" s="375"/>
      <c r="G191" s="214"/>
      <c r="H191" s="345" t="str">
        <f>$A$87</f>
        <v>ROCKET</v>
      </c>
      <c r="I191" s="346"/>
      <c r="J191" s="157" t="s">
        <v>121</v>
      </c>
      <c r="K191" s="157">
        <f>$P$40</f>
        <v>791</v>
      </c>
      <c r="L191" s="153">
        <v>1</v>
      </c>
      <c r="M191" s="157">
        <f t="shared" si="58"/>
        <v>791</v>
      </c>
      <c r="N191" s="154"/>
      <c r="O191" s="155">
        <f t="shared" si="55"/>
        <v>791</v>
      </c>
      <c r="P191" s="395"/>
    </row>
    <row r="192" spans="1:16" s="156" customFormat="1" ht="58.5" customHeight="1">
      <c r="A192" s="142">
        <v>3</v>
      </c>
      <c r="B192" s="380"/>
      <c r="C192" s="381"/>
      <c r="D192" s="381"/>
      <c r="E192" s="382"/>
      <c r="F192" s="375"/>
      <c r="G192" s="214"/>
      <c r="H192" s="345" t="str">
        <f>$A$91</f>
        <v>ALLOY</v>
      </c>
      <c r="I192" s="346"/>
      <c r="J192" s="157" t="s">
        <v>121</v>
      </c>
      <c r="K192" s="157">
        <f>$P$45</f>
        <v>660</v>
      </c>
      <c r="L192" s="153">
        <v>1</v>
      </c>
      <c r="M192" s="157">
        <f t="shared" ref="M192" si="61">K192*L192</f>
        <v>660</v>
      </c>
      <c r="N192" s="154"/>
      <c r="O192" s="155">
        <f t="shared" ref="O192" si="62">ROUNDUP(SUM(M192:N192),0)</f>
        <v>660</v>
      </c>
      <c r="P192" s="395"/>
    </row>
    <row r="193" spans="1:16" s="156" customFormat="1" ht="58.5" customHeight="1">
      <c r="A193" s="142">
        <v>3</v>
      </c>
      <c r="B193" s="383"/>
      <c r="C193" s="384"/>
      <c r="D193" s="384"/>
      <c r="E193" s="385"/>
      <c r="F193" s="376"/>
      <c r="G193" s="214"/>
      <c r="H193" s="345" t="str">
        <f>$A$95</f>
        <v xml:space="preserve">OPTIC WHITE         </v>
      </c>
      <c r="I193" s="346"/>
      <c r="J193" s="157" t="s">
        <v>121</v>
      </c>
      <c r="K193" s="157">
        <f>$P$50</f>
        <v>660</v>
      </c>
      <c r="L193" s="153">
        <v>1</v>
      </c>
      <c r="M193" s="157">
        <f t="shared" si="58"/>
        <v>660</v>
      </c>
      <c r="N193" s="154"/>
      <c r="O193" s="155">
        <f t="shared" si="55"/>
        <v>660</v>
      </c>
      <c r="P193" s="396"/>
    </row>
    <row r="194" spans="1:16" s="156" customFormat="1" ht="58.5" customHeight="1">
      <c r="A194" s="142">
        <v>4</v>
      </c>
      <c r="B194" s="377" t="s">
        <v>132</v>
      </c>
      <c r="C194" s="378"/>
      <c r="D194" s="378"/>
      <c r="E194" s="379"/>
      <c r="F194" s="374" t="s">
        <v>38</v>
      </c>
      <c r="G194" s="391">
        <v>102507</v>
      </c>
      <c r="H194" s="345" t="str">
        <f>$A$71</f>
        <v>DARKEST BLACK</v>
      </c>
      <c r="I194" s="346"/>
      <c r="J194" s="157" t="s">
        <v>121</v>
      </c>
      <c r="K194" s="157">
        <f>$P$20</f>
        <v>1447</v>
      </c>
      <c r="L194" s="153">
        <v>1</v>
      </c>
      <c r="M194" s="157">
        <f t="shared" si="58"/>
        <v>1447</v>
      </c>
      <c r="N194" s="154"/>
      <c r="O194" s="155">
        <f t="shared" si="55"/>
        <v>1447</v>
      </c>
      <c r="P194" s="160"/>
    </row>
    <row r="195" spans="1:16" s="156" customFormat="1" ht="58.5" customHeight="1">
      <c r="A195" s="142">
        <v>4</v>
      </c>
      <c r="B195" s="380"/>
      <c r="C195" s="381"/>
      <c r="D195" s="381"/>
      <c r="E195" s="382"/>
      <c r="F195" s="375"/>
      <c r="G195" s="392"/>
      <c r="H195" s="345" t="str">
        <f>$A$75</f>
        <v>CANOPY</v>
      </c>
      <c r="I195" s="346"/>
      <c r="J195" s="157" t="s">
        <v>121</v>
      </c>
      <c r="K195" s="157">
        <f>$P$25</f>
        <v>660</v>
      </c>
      <c r="L195" s="153">
        <v>1</v>
      </c>
      <c r="M195" s="157">
        <f t="shared" si="58"/>
        <v>660</v>
      </c>
      <c r="N195" s="154"/>
      <c r="O195" s="155">
        <f t="shared" si="55"/>
        <v>660</v>
      </c>
      <c r="P195" s="160"/>
    </row>
    <row r="196" spans="1:16" s="156" customFormat="1" ht="58.5" customHeight="1">
      <c r="A196" s="142">
        <v>4</v>
      </c>
      <c r="B196" s="380"/>
      <c r="C196" s="381"/>
      <c r="D196" s="381"/>
      <c r="E196" s="382"/>
      <c r="F196" s="375"/>
      <c r="G196" s="392"/>
      <c r="H196" s="345" t="str">
        <f>$A$79</f>
        <v xml:space="preserve">HYPER LILAC         </v>
      </c>
      <c r="I196" s="346"/>
      <c r="J196" s="157" t="s">
        <v>121</v>
      </c>
      <c r="K196" s="157">
        <f>$P$30</f>
        <v>1447</v>
      </c>
      <c r="L196" s="153">
        <v>1</v>
      </c>
      <c r="M196" s="157">
        <f>K196*L196</f>
        <v>1447</v>
      </c>
      <c r="N196" s="154"/>
      <c r="O196" s="155">
        <f>ROUNDUP(SUM(M196:N196),0)</f>
        <v>1447</v>
      </c>
      <c r="P196" s="160"/>
    </row>
    <row r="197" spans="1:16" s="156" customFormat="1" ht="58.5" customHeight="1">
      <c r="A197" s="142">
        <v>4</v>
      </c>
      <c r="B197" s="380"/>
      <c r="C197" s="381"/>
      <c r="D197" s="381"/>
      <c r="E197" s="382"/>
      <c r="F197" s="375"/>
      <c r="G197" s="392"/>
      <c r="H197" s="345" t="str">
        <f>$A$83</f>
        <v>ATOMIC BLASTER</v>
      </c>
      <c r="I197" s="346"/>
      <c r="J197" s="157" t="s">
        <v>121</v>
      </c>
      <c r="K197" s="157">
        <f>$P$35</f>
        <v>791</v>
      </c>
      <c r="L197" s="153">
        <v>1</v>
      </c>
      <c r="M197" s="157">
        <f>K197*L197</f>
        <v>791</v>
      </c>
      <c r="N197" s="154"/>
      <c r="O197" s="155">
        <f>ROUNDUP(SUM(M197:N197),0)</f>
        <v>791</v>
      </c>
      <c r="P197" s="160"/>
    </row>
    <row r="198" spans="1:16" s="156" customFormat="1" ht="58.5" customHeight="1">
      <c r="A198" s="142">
        <v>4</v>
      </c>
      <c r="B198" s="380"/>
      <c r="C198" s="381"/>
      <c r="D198" s="381"/>
      <c r="E198" s="382"/>
      <c r="F198" s="375"/>
      <c r="G198" s="392"/>
      <c r="H198" s="345" t="str">
        <f>$A$87</f>
        <v>ROCKET</v>
      </c>
      <c r="I198" s="346"/>
      <c r="J198" s="157" t="s">
        <v>121</v>
      </c>
      <c r="K198" s="157">
        <f>$P$40</f>
        <v>791</v>
      </c>
      <c r="L198" s="153">
        <v>1</v>
      </c>
      <c r="M198" s="157">
        <f t="shared" si="58"/>
        <v>791</v>
      </c>
      <c r="N198" s="154"/>
      <c r="O198" s="155">
        <f t="shared" si="55"/>
        <v>791</v>
      </c>
      <c r="P198" s="160"/>
    </row>
    <row r="199" spans="1:16" s="156" customFormat="1" ht="58.5" customHeight="1">
      <c r="A199" s="142">
        <v>4</v>
      </c>
      <c r="B199" s="380"/>
      <c r="C199" s="381"/>
      <c r="D199" s="381"/>
      <c r="E199" s="382"/>
      <c r="F199" s="375"/>
      <c r="G199" s="392"/>
      <c r="H199" s="345" t="str">
        <f>$A$91</f>
        <v>ALLOY</v>
      </c>
      <c r="I199" s="346"/>
      <c r="J199" s="157" t="s">
        <v>121</v>
      </c>
      <c r="K199" s="157">
        <f>$P$45</f>
        <v>660</v>
      </c>
      <c r="L199" s="157">
        <v>1</v>
      </c>
      <c r="M199" s="157">
        <f t="shared" ref="M199" si="63">K199*L199</f>
        <v>660</v>
      </c>
      <c r="N199" s="154"/>
      <c r="O199" s="155">
        <f t="shared" ref="O199" si="64">ROUNDUP(SUM(M199:N199),0)</f>
        <v>660</v>
      </c>
      <c r="P199" s="160"/>
    </row>
    <row r="200" spans="1:16" s="156" customFormat="1" ht="58.5" customHeight="1">
      <c r="A200" s="142">
        <v>4</v>
      </c>
      <c r="B200" s="383"/>
      <c r="C200" s="384"/>
      <c r="D200" s="384"/>
      <c r="E200" s="385"/>
      <c r="F200" s="376"/>
      <c r="G200" s="393"/>
      <c r="H200" s="345" t="str">
        <f>$A$95</f>
        <v xml:space="preserve">OPTIC WHITE         </v>
      </c>
      <c r="I200" s="346"/>
      <c r="J200" s="157" t="s">
        <v>121</v>
      </c>
      <c r="K200" s="157">
        <f>$P$50</f>
        <v>660</v>
      </c>
      <c r="L200" s="153">
        <v>1</v>
      </c>
      <c r="M200" s="157">
        <f t="shared" si="58"/>
        <v>660</v>
      </c>
      <c r="N200" s="154"/>
      <c r="O200" s="155">
        <f t="shared" si="55"/>
        <v>660</v>
      </c>
      <c r="P200" s="160"/>
    </row>
    <row r="201" spans="1:16" s="156" customFormat="1" ht="58.5" customHeight="1">
      <c r="A201" s="142">
        <v>5</v>
      </c>
      <c r="B201" s="377" t="s">
        <v>133</v>
      </c>
      <c r="C201" s="378"/>
      <c r="D201" s="378"/>
      <c r="E201" s="379"/>
      <c r="F201" s="374" t="s">
        <v>52</v>
      </c>
      <c r="G201" s="214"/>
      <c r="H201" s="345" t="str">
        <f>$A$71</f>
        <v>DARKEST BLACK</v>
      </c>
      <c r="I201" s="346"/>
      <c r="J201" s="157" t="s">
        <v>121</v>
      </c>
      <c r="K201" s="157">
        <f>$P$20</f>
        <v>1447</v>
      </c>
      <c r="L201" s="153">
        <f t="shared" ref="L201:L207" si="65">1/11</f>
        <v>9.0909090909090912E-2</v>
      </c>
      <c r="M201" s="232">
        <f t="shared" si="58"/>
        <v>131.54545454545456</v>
      </c>
      <c r="N201" s="154"/>
      <c r="O201" s="155">
        <f t="shared" si="55"/>
        <v>132</v>
      </c>
      <c r="P201" s="160"/>
    </row>
    <row r="202" spans="1:16" s="156" customFormat="1" ht="58.5" customHeight="1">
      <c r="A202" s="142">
        <v>5</v>
      </c>
      <c r="B202" s="380"/>
      <c r="C202" s="381"/>
      <c r="D202" s="381"/>
      <c r="E202" s="382"/>
      <c r="F202" s="375"/>
      <c r="G202" s="214"/>
      <c r="H202" s="345" t="str">
        <f>$A$75</f>
        <v>CANOPY</v>
      </c>
      <c r="I202" s="346"/>
      <c r="J202" s="157" t="s">
        <v>121</v>
      </c>
      <c r="K202" s="157">
        <f>$P$25</f>
        <v>660</v>
      </c>
      <c r="L202" s="153">
        <f t="shared" si="65"/>
        <v>9.0909090909090912E-2</v>
      </c>
      <c r="M202" s="153">
        <f t="shared" si="58"/>
        <v>60</v>
      </c>
      <c r="N202" s="154"/>
      <c r="O202" s="155">
        <f t="shared" si="55"/>
        <v>60</v>
      </c>
      <c r="P202" s="160"/>
    </row>
    <row r="203" spans="1:16" s="156" customFormat="1" ht="58.5" customHeight="1">
      <c r="A203" s="142">
        <v>5</v>
      </c>
      <c r="B203" s="380"/>
      <c r="C203" s="381"/>
      <c r="D203" s="381"/>
      <c r="E203" s="382"/>
      <c r="F203" s="375"/>
      <c r="G203" s="214"/>
      <c r="H203" s="345" t="str">
        <f>$A$79</f>
        <v xml:space="preserve">HYPER LILAC         </v>
      </c>
      <c r="I203" s="346"/>
      <c r="J203" s="157" t="s">
        <v>121</v>
      </c>
      <c r="K203" s="157">
        <f>$P$30</f>
        <v>1447</v>
      </c>
      <c r="L203" s="153">
        <f t="shared" si="65"/>
        <v>9.0909090909090912E-2</v>
      </c>
      <c r="M203" s="232">
        <f>K203*L203</f>
        <v>131.54545454545456</v>
      </c>
      <c r="N203" s="154"/>
      <c r="O203" s="155">
        <f>ROUNDUP(SUM(M203:N203),0)</f>
        <v>132</v>
      </c>
      <c r="P203" s="160"/>
    </row>
    <row r="204" spans="1:16" s="156" customFormat="1" ht="58.5" customHeight="1">
      <c r="A204" s="142">
        <v>5</v>
      </c>
      <c r="B204" s="380"/>
      <c r="C204" s="381"/>
      <c r="D204" s="381"/>
      <c r="E204" s="382"/>
      <c r="F204" s="375"/>
      <c r="G204" s="214"/>
      <c r="H204" s="345" t="str">
        <f>$A$83</f>
        <v>ATOMIC BLASTER</v>
      </c>
      <c r="I204" s="346"/>
      <c r="J204" s="157" t="s">
        <v>121</v>
      </c>
      <c r="K204" s="157">
        <f>$P$35</f>
        <v>791</v>
      </c>
      <c r="L204" s="153">
        <f t="shared" si="65"/>
        <v>9.0909090909090912E-2</v>
      </c>
      <c r="M204" s="153">
        <f>K204*L204</f>
        <v>71.909090909090907</v>
      </c>
      <c r="N204" s="154"/>
      <c r="O204" s="155">
        <f>ROUNDUP(SUM(M204:N204),0)</f>
        <v>72</v>
      </c>
      <c r="P204" s="160"/>
    </row>
    <row r="205" spans="1:16" s="156" customFormat="1" ht="58.5" customHeight="1">
      <c r="A205" s="142">
        <v>5</v>
      </c>
      <c r="B205" s="380"/>
      <c r="C205" s="381"/>
      <c r="D205" s="381"/>
      <c r="E205" s="382"/>
      <c r="F205" s="375"/>
      <c r="G205" s="214"/>
      <c r="H205" s="345" t="str">
        <f>$A$87</f>
        <v>ROCKET</v>
      </c>
      <c r="I205" s="346"/>
      <c r="J205" s="157" t="s">
        <v>121</v>
      </c>
      <c r="K205" s="157">
        <f>$P$40</f>
        <v>791</v>
      </c>
      <c r="L205" s="153">
        <f t="shared" si="65"/>
        <v>9.0909090909090912E-2</v>
      </c>
      <c r="M205" s="153">
        <f t="shared" si="58"/>
        <v>71.909090909090907</v>
      </c>
      <c r="N205" s="154"/>
      <c r="O205" s="155">
        <f t="shared" si="55"/>
        <v>72</v>
      </c>
      <c r="P205" s="160"/>
    </row>
    <row r="206" spans="1:16" s="156" customFormat="1" ht="58.5" customHeight="1">
      <c r="A206" s="142">
        <v>5</v>
      </c>
      <c r="B206" s="380"/>
      <c r="C206" s="381"/>
      <c r="D206" s="381"/>
      <c r="E206" s="382"/>
      <c r="F206" s="375"/>
      <c r="G206" s="214"/>
      <c r="H206" s="345" t="str">
        <f>$A$91</f>
        <v>ALLOY</v>
      </c>
      <c r="I206" s="346"/>
      <c r="J206" s="157" t="s">
        <v>121</v>
      </c>
      <c r="K206" s="157">
        <f>$P$45</f>
        <v>660</v>
      </c>
      <c r="L206" s="153">
        <f t="shared" si="65"/>
        <v>9.0909090909090912E-2</v>
      </c>
      <c r="M206" s="153">
        <f t="shared" ref="M206" si="66">K206*L206</f>
        <v>60</v>
      </c>
      <c r="N206" s="154"/>
      <c r="O206" s="155">
        <f t="shared" ref="O206" si="67">ROUNDUP(SUM(M206:N206),0)</f>
        <v>60</v>
      </c>
      <c r="P206" s="160"/>
    </row>
    <row r="207" spans="1:16" s="156" customFormat="1" ht="58.5" customHeight="1">
      <c r="A207" s="142">
        <v>5</v>
      </c>
      <c r="B207" s="383"/>
      <c r="C207" s="384"/>
      <c r="D207" s="384"/>
      <c r="E207" s="385"/>
      <c r="F207" s="376"/>
      <c r="G207" s="214"/>
      <c r="H207" s="345" t="str">
        <f>$A$95</f>
        <v xml:space="preserve">OPTIC WHITE         </v>
      </c>
      <c r="I207" s="346"/>
      <c r="J207" s="157" t="s">
        <v>121</v>
      </c>
      <c r="K207" s="157">
        <f>$P$50</f>
        <v>660</v>
      </c>
      <c r="L207" s="153">
        <f t="shared" si="65"/>
        <v>9.0909090909090912E-2</v>
      </c>
      <c r="M207" s="153">
        <f t="shared" si="58"/>
        <v>60</v>
      </c>
      <c r="N207" s="154"/>
      <c r="O207" s="155">
        <f t="shared" si="55"/>
        <v>60</v>
      </c>
      <c r="P207" s="160"/>
    </row>
    <row r="208" spans="1:16" s="156" customFormat="1" ht="58.5" customHeight="1">
      <c r="A208" s="142">
        <v>6</v>
      </c>
      <c r="B208" s="377" t="s">
        <v>51</v>
      </c>
      <c r="C208" s="378"/>
      <c r="D208" s="378"/>
      <c r="E208" s="379"/>
      <c r="F208" s="374" t="s">
        <v>52</v>
      </c>
      <c r="G208" s="214"/>
      <c r="H208" s="345" t="str">
        <f>$A$71</f>
        <v>DARKEST BLACK</v>
      </c>
      <c r="I208" s="346"/>
      <c r="J208" s="157" t="s">
        <v>121</v>
      </c>
      <c r="K208" s="157">
        <f>$P$20</f>
        <v>1447</v>
      </c>
      <c r="L208" s="153">
        <f t="shared" ref="L208:L214" si="68">2/11</f>
        <v>0.18181818181818182</v>
      </c>
      <c r="M208" s="154">
        <f t="shared" si="58"/>
        <v>263.09090909090912</v>
      </c>
      <c r="N208" s="154"/>
      <c r="O208" s="155">
        <f>ROUNDUP(SUM(M208:N208),0)</f>
        <v>264</v>
      </c>
      <c r="P208" s="160"/>
    </row>
    <row r="209" spans="1:16" s="156" customFormat="1" ht="58.5" customHeight="1">
      <c r="A209" s="142">
        <v>6</v>
      </c>
      <c r="B209" s="380"/>
      <c r="C209" s="381"/>
      <c r="D209" s="381"/>
      <c r="E209" s="382"/>
      <c r="F209" s="375"/>
      <c r="G209" s="214"/>
      <c r="H209" s="345" t="str">
        <f>$A$75</f>
        <v>CANOPY</v>
      </c>
      <c r="I209" s="346"/>
      <c r="J209" s="157" t="s">
        <v>121</v>
      </c>
      <c r="K209" s="157">
        <f>$P$25</f>
        <v>660</v>
      </c>
      <c r="L209" s="153">
        <f t="shared" si="68"/>
        <v>0.18181818181818182</v>
      </c>
      <c r="M209" s="232">
        <f t="shared" si="58"/>
        <v>120</v>
      </c>
      <c r="N209" s="154"/>
      <c r="O209" s="155">
        <f>ROUNDUP(SUM(M209:N209),0)</f>
        <v>120</v>
      </c>
      <c r="P209" s="160"/>
    </row>
    <row r="210" spans="1:16" s="156" customFormat="1" ht="58.5" customHeight="1">
      <c r="A210" s="142">
        <v>6</v>
      </c>
      <c r="B210" s="380"/>
      <c r="C210" s="381"/>
      <c r="D210" s="381"/>
      <c r="E210" s="382"/>
      <c r="F210" s="375"/>
      <c r="G210" s="214"/>
      <c r="H210" s="345" t="str">
        <f>$A$79</f>
        <v xml:space="preserve">HYPER LILAC         </v>
      </c>
      <c r="I210" s="346"/>
      <c r="J210" s="157" t="s">
        <v>121</v>
      </c>
      <c r="K210" s="157">
        <f>$P$30</f>
        <v>1447</v>
      </c>
      <c r="L210" s="153">
        <f t="shared" si="68"/>
        <v>0.18181818181818182</v>
      </c>
      <c r="M210" s="154">
        <f>K210*L210</f>
        <v>263.09090909090912</v>
      </c>
      <c r="N210" s="154"/>
      <c r="O210" s="155">
        <f>ROUNDUP(SUM(M210:N210),0)</f>
        <v>264</v>
      </c>
      <c r="P210" s="160"/>
    </row>
    <row r="211" spans="1:16" s="156" customFormat="1" ht="58.5" customHeight="1">
      <c r="A211" s="142">
        <v>6</v>
      </c>
      <c r="B211" s="380"/>
      <c r="C211" s="381"/>
      <c r="D211" s="381"/>
      <c r="E211" s="382"/>
      <c r="F211" s="375"/>
      <c r="G211" s="214"/>
      <c r="H211" s="345" t="str">
        <f>$A$83</f>
        <v>ATOMIC BLASTER</v>
      </c>
      <c r="I211" s="346"/>
      <c r="J211" s="157" t="s">
        <v>121</v>
      </c>
      <c r="K211" s="157">
        <f>$P$35</f>
        <v>791</v>
      </c>
      <c r="L211" s="153">
        <f t="shared" si="68"/>
        <v>0.18181818181818182</v>
      </c>
      <c r="M211" s="232">
        <f>K211*L211</f>
        <v>143.81818181818181</v>
      </c>
      <c r="N211" s="154"/>
      <c r="O211" s="155">
        <f>ROUNDUP(SUM(M211:N211),0)+1</f>
        <v>145</v>
      </c>
      <c r="P211" s="160"/>
    </row>
    <row r="212" spans="1:16" s="156" customFormat="1" ht="58.5" customHeight="1">
      <c r="A212" s="142">
        <v>6</v>
      </c>
      <c r="B212" s="380"/>
      <c r="C212" s="381"/>
      <c r="D212" s="381"/>
      <c r="E212" s="382"/>
      <c r="F212" s="375"/>
      <c r="G212" s="214"/>
      <c r="H212" s="345" t="str">
        <f>$A$87</f>
        <v>ROCKET</v>
      </c>
      <c r="I212" s="346"/>
      <c r="J212" s="157" t="s">
        <v>121</v>
      </c>
      <c r="K212" s="157">
        <f>$P$40</f>
        <v>791</v>
      </c>
      <c r="L212" s="153">
        <f t="shared" si="68"/>
        <v>0.18181818181818182</v>
      </c>
      <c r="M212" s="232">
        <f t="shared" si="58"/>
        <v>143.81818181818181</v>
      </c>
      <c r="N212" s="154"/>
      <c r="O212" s="155">
        <f>ROUNDUP(SUM(M212:N212),0)+1</f>
        <v>145</v>
      </c>
      <c r="P212" s="160"/>
    </row>
    <row r="213" spans="1:16" s="156" customFormat="1" ht="58.5" customHeight="1">
      <c r="A213" s="142">
        <v>6</v>
      </c>
      <c r="B213" s="380"/>
      <c r="C213" s="381"/>
      <c r="D213" s="381"/>
      <c r="E213" s="382"/>
      <c r="F213" s="375"/>
      <c r="G213" s="214"/>
      <c r="H213" s="345" t="str">
        <f>$A$91</f>
        <v>ALLOY</v>
      </c>
      <c r="I213" s="346"/>
      <c r="J213" s="157" t="s">
        <v>121</v>
      </c>
      <c r="K213" s="157">
        <f>$P$45</f>
        <v>660</v>
      </c>
      <c r="L213" s="153">
        <f t="shared" si="68"/>
        <v>0.18181818181818182</v>
      </c>
      <c r="M213" s="232">
        <f t="shared" ref="M213" si="69">K213*L213</f>
        <v>120</v>
      </c>
      <c r="N213" s="154"/>
      <c r="O213" s="155">
        <f t="shared" ref="O213" si="70">ROUNDUP(SUM(M213:N213),0)</f>
        <v>120</v>
      </c>
      <c r="P213" s="160"/>
    </row>
    <row r="214" spans="1:16" s="156" customFormat="1" ht="58.5" customHeight="1">
      <c r="A214" s="142">
        <v>6</v>
      </c>
      <c r="B214" s="383"/>
      <c r="C214" s="384"/>
      <c r="D214" s="384"/>
      <c r="E214" s="385"/>
      <c r="F214" s="376"/>
      <c r="G214" s="214"/>
      <c r="H214" s="345" t="str">
        <f>$A$95</f>
        <v xml:space="preserve">OPTIC WHITE         </v>
      </c>
      <c r="I214" s="346"/>
      <c r="J214" s="157" t="s">
        <v>121</v>
      </c>
      <c r="K214" s="157">
        <f>$P$50</f>
        <v>660</v>
      </c>
      <c r="L214" s="153">
        <f t="shared" si="68"/>
        <v>0.18181818181818182</v>
      </c>
      <c r="M214" s="232">
        <f t="shared" si="58"/>
        <v>120</v>
      </c>
      <c r="N214" s="154"/>
      <c r="O214" s="155">
        <f t="shared" si="55"/>
        <v>120</v>
      </c>
      <c r="P214" s="160"/>
    </row>
    <row r="215" spans="1:16" s="156" customFormat="1" ht="58.5" customHeight="1">
      <c r="A215" s="142">
        <v>7</v>
      </c>
      <c r="B215" s="377" t="s">
        <v>134</v>
      </c>
      <c r="C215" s="378"/>
      <c r="D215" s="378"/>
      <c r="E215" s="379"/>
      <c r="F215" s="374" t="s">
        <v>135</v>
      </c>
      <c r="G215" s="214"/>
      <c r="H215" s="345" t="str">
        <f>$A$71</f>
        <v>DARKEST BLACK</v>
      </c>
      <c r="I215" s="346"/>
      <c r="J215" s="157" t="s">
        <v>121</v>
      </c>
      <c r="K215" s="157">
        <f>$P$20</f>
        <v>1447</v>
      </c>
      <c r="L215" s="153">
        <f t="shared" ref="L215:L221" si="71">1/11</f>
        <v>9.0909090909090912E-2</v>
      </c>
      <c r="M215" s="232">
        <f t="shared" si="58"/>
        <v>131.54545454545456</v>
      </c>
      <c r="N215" s="154"/>
      <c r="O215" s="155">
        <f t="shared" si="55"/>
        <v>132</v>
      </c>
      <c r="P215" s="160"/>
    </row>
    <row r="216" spans="1:16" s="156" customFormat="1" ht="58.5" customHeight="1">
      <c r="A216" s="142">
        <v>7</v>
      </c>
      <c r="B216" s="380"/>
      <c r="C216" s="381"/>
      <c r="D216" s="381"/>
      <c r="E216" s="382"/>
      <c r="F216" s="375"/>
      <c r="G216" s="214"/>
      <c r="H216" s="345" t="str">
        <f>$A$75</f>
        <v>CANOPY</v>
      </c>
      <c r="I216" s="346"/>
      <c r="J216" s="157" t="s">
        <v>121</v>
      </c>
      <c r="K216" s="157">
        <f>$P$25</f>
        <v>660</v>
      </c>
      <c r="L216" s="153">
        <f t="shared" si="71"/>
        <v>9.0909090909090912E-2</v>
      </c>
      <c r="M216" s="153">
        <f t="shared" si="58"/>
        <v>60</v>
      </c>
      <c r="N216" s="154"/>
      <c r="O216" s="155">
        <f t="shared" si="55"/>
        <v>60</v>
      </c>
      <c r="P216" s="160"/>
    </row>
    <row r="217" spans="1:16" s="156" customFormat="1" ht="58.5" customHeight="1">
      <c r="A217" s="142">
        <v>7</v>
      </c>
      <c r="B217" s="380"/>
      <c r="C217" s="381"/>
      <c r="D217" s="381"/>
      <c r="E217" s="382"/>
      <c r="F217" s="375"/>
      <c r="G217" s="214"/>
      <c r="H217" s="345" t="str">
        <f>$A$79</f>
        <v xml:space="preserve">HYPER LILAC         </v>
      </c>
      <c r="I217" s="346"/>
      <c r="J217" s="157" t="s">
        <v>121</v>
      </c>
      <c r="K217" s="157">
        <f>$P$30</f>
        <v>1447</v>
      </c>
      <c r="L217" s="153">
        <f t="shared" si="71"/>
        <v>9.0909090909090912E-2</v>
      </c>
      <c r="M217" s="232">
        <f>K217*L217</f>
        <v>131.54545454545456</v>
      </c>
      <c r="N217" s="154"/>
      <c r="O217" s="155">
        <f>ROUNDUP(SUM(M217:N217),0)</f>
        <v>132</v>
      </c>
      <c r="P217" s="160"/>
    </row>
    <row r="218" spans="1:16" s="156" customFormat="1" ht="58.5" customHeight="1">
      <c r="A218" s="142">
        <v>7</v>
      </c>
      <c r="B218" s="380"/>
      <c r="C218" s="381"/>
      <c r="D218" s="381"/>
      <c r="E218" s="382"/>
      <c r="F218" s="375"/>
      <c r="G218" s="214"/>
      <c r="H218" s="345" t="str">
        <f>$A$83</f>
        <v>ATOMIC BLASTER</v>
      </c>
      <c r="I218" s="346"/>
      <c r="J218" s="157" t="s">
        <v>121</v>
      </c>
      <c r="K218" s="157">
        <f>$P$35</f>
        <v>791</v>
      </c>
      <c r="L218" s="153">
        <f t="shared" si="71"/>
        <v>9.0909090909090912E-2</v>
      </c>
      <c r="M218" s="153">
        <f>K218*L218</f>
        <v>71.909090909090907</v>
      </c>
      <c r="N218" s="154"/>
      <c r="O218" s="155">
        <f>ROUNDUP(SUM(M218:N218),0)</f>
        <v>72</v>
      </c>
      <c r="P218" s="160"/>
    </row>
    <row r="219" spans="1:16" s="156" customFormat="1" ht="58.5" customHeight="1">
      <c r="A219" s="142">
        <v>7</v>
      </c>
      <c r="B219" s="380"/>
      <c r="C219" s="381"/>
      <c r="D219" s="381"/>
      <c r="E219" s="382"/>
      <c r="F219" s="375"/>
      <c r="G219" s="214"/>
      <c r="H219" s="345" t="str">
        <f>$A$87</f>
        <v>ROCKET</v>
      </c>
      <c r="I219" s="346"/>
      <c r="J219" s="157" t="s">
        <v>121</v>
      </c>
      <c r="K219" s="157">
        <f>$P$40</f>
        <v>791</v>
      </c>
      <c r="L219" s="153">
        <f t="shared" si="71"/>
        <v>9.0909090909090912E-2</v>
      </c>
      <c r="M219" s="153">
        <f t="shared" si="58"/>
        <v>71.909090909090907</v>
      </c>
      <c r="N219" s="154"/>
      <c r="O219" s="155">
        <f t="shared" si="55"/>
        <v>72</v>
      </c>
      <c r="P219" s="160"/>
    </row>
    <row r="220" spans="1:16" s="156" customFormat="1" ht="58.5" customHeight="1">
      <c r="A220" s="142">
        <v>7</v>
      </c>
      <c r="B220" s="380"/>
      <c r="C220" s="381"/>
      <c r="D220" s="381"/>
      <c r="E220" s="382"/>
      <c r="F220" s="375"/>
      <c r="G220" s="214"/>
      <c r="H220" s="345" t="str">
        <f>$A$91</f>
        <v>ALLOY</v>
      </c>
      <c r="I220" s="346"/>
      <c r="J220" s="157" t="s">
        <v>121</v>
      </c>
      <c r="K220" s="157">
        <f>$P$45</f>
        <v>660</v>
      </c>
      <c r="L220" s="153">
        <f t="shared" si="71"/>
        <v>9.0909090909090912E-2</v>
      </c>
      <c r="M220" s="153">
        <f t="shared" ref="M220" si="72">K220*L220</f>
        <v>60</v>
      </c>
      <c r="N220" s="154"/>
      <c r="O220" s="155">
        <f t="shared" ref="O220" si="73">ROUNDUP(SUM(M220:N220),0)</f>
        <v>60</v>
      </c>
      <c r="P220" s="160"/>
    </row>
    <row r="221" spans="1:16" s="156" customFormat="1" ht="58.5" customHeight="1">
      <c r="A221" s="142">
        <v>7</v>
      </c>
      <c r="B221" s="383"/>
      <c r="C221" s="384"/>
      <c r="D221" s="384"/>
      <c r="E221" s="385"/>
      <c r="F221" s="376"/>
      <c r="G221" s="214"/>
      <c r="H221" s="345" t="str">
        <f>$A$95</f>
        <v xml:space="preserve">OPTIC WHITE         </v>
      </c>
      <c r="I221" s="346"/>
      <c r="J221" s="157" t="s">
        <v>121</v>
      </c>
      <c r="K221" s="157">
        <f>$P$50</f>
        <v>660</v>
      </c>
      <c r="L221" s="153">
        <f t="shared" si="71"/>
        <v>9.0909090909090912E-2</v>
      </c>
      <c r="M221" s="153">
        <f t="shared" si="58"/>
        <v>60</v>
      </c>
      <c r="N221" s="154"/>
      <c r="O221" s="155">
        <f t="shared" si="55"/>
        <v>60</v>
      </c>
      <c r="P221" s="160"/>
    </row>
    <row r="222" spans="1:16" s="156" customFormat="1" ht="58.5" customHeight="1">
      <c r="A222" s="142">
        <v>8</v>
      </c>
      <c r="B222" s="318" t="s">
        <v>136</v>
      </c>
      <c r="C222" s="318"/>
      <c r="D222" s="318"/>
      <c r="E222" s="318"/>
      <c r="F222" s="386" t="s">
        <v>38</v>
      </c>
      <c r="G222" s="387" t="s">
        <v>187</v>
      </c>
      <c r="H222" s="345" t="str">
        <f>$A$71</f>
        <v>DARKEST BLACK</v>
      </c>
      <c r="I222" s="346"/>
      <c r="J222" s="157" t="s">
        <v>121</v>
      </c>
      <c r="K222" s="157">
        <f>$P$20</f>
        <v>1447</v>
      </c>
      <c r="L222" s="153">
        <v>1</v>
      </c>
      <c r="M222" s="157">
        <f t="shared" si="58"/>
        <v>1447</v>
      </c>
      <c r="N222" s="154"/>
      <c r="O222" s="155">
        <f t="shared" si="55"/>
        <v>1447</v>
      </c>
      <c r="P222" s="319" t="s">
        <v>159</v>
      </c>
    </row>
    <row r="223" spans="1:16" s="156" customFormat="1" ht="58.5" customHeight="1">
      <c r="A223" s="142">
        <v>8</v>
      </c>
      <c r="B223" s="318"/>
      <c r="C223" s="318"/>
      <c r="D223" s="318"/>
      <c r="E223" s="318"/>
      <c r="F223" s="386"/>
      <c r="G223" s="387"/>
      <c r="H223" s="345" t="str">
        <f>$A$75</f>
        <v>CANOPY</v>
      </c>
      <c r="I223" s="346"/>
      <c r="J223" s="157" t="s">
        <v>121</v>
      </c>
      <c r="K223" s="157">
        <f>$P$25</f>
        <v>660</v>
      </c>
      <c r="L223" s="153">
        <v>1</v>
      </c>
      <c r="M223" s="157">
        <f t="shared" si="58"/>
        <v>660</v>
      </c>
      <c r="N223" s="154"/>
      <c r="O223" s="155">
        <f t="shared" si="55"/>
        <v>660</v>
      </c>
      <c r="P223" s="319"/>
    </row>
    <row r="224" spans="1:16" s="156" customFormat="1" ht="58.5" customHeight="1">
      <c r="A224" s="142">
        <v>8</v>
      </c>
      <c r="B224" s="318"/>
      <c r="C224" s="318"/>
      <c r="D224" s="318"/>
      <c r="E224" s="318"/>
      <c r="F224" s="386"/>
      <c r="G224" s="387"/>
      <c r="H224" s="345" t="str">
        <f>$A$79</f>
        <v xml:space="preserve">HYPER LILAC         </v>
      </c>
      <c r="I224" s="346"/>
      <c r="J224" s="157" t="s">
        <v>121</v>
      </c>
      <c r="K224" s="157">
        <f>$P$30</f>
        <v>1447</v>
      </c>
      <c r="L224" s="153">
        <v>1</v>
      </c>
      <c r="M224" s="157">
        <f>K224*L224</f>
        <v>1447</v>
      </c>
      <c r="N224" s="154"/>
      <c r="O224" s="155">
        <f>ROUNDUP(SUM(M224:N224),0)</f>
        <v>1447</v>
      </c>
      <c r="P224" s="319"/>
    </row>
    <row r="225" spans="1:16" s="156" customFormat="1" ht="58.5" customHeight="1">
      <c r="A225" s="142">
        <v>8</v>
      </c>
      <c r="B225" s="318"/>
      <c r="C225" s="318"/>
      <c r="D225" s="318"/>
      <c r="E225" s="318"/>
      <c r="F225" s="386"/>
      <c r="G225" s="387"/>
      <c r="H225" s="345" t="str">
        <f>$A$83</f>
        <v>ATOMIC BLASTER</v>
      </c>
      <c r="I225" s="346"/>
      <c r="J225" s="157" t="s">
        <v>121</v>
      </c>
      <c r="K225" s="157">
        <f>$P$35</f>
        <v>791</v>
      </c>
      <c r="L225" s="153">
        <v>1</v>
      </c>
      <c r="M225" s="157">
        <f>K225*L225</f>
        <v>791</v>
      </c>
      <c r="N225" s="154"/>
      <c r="O225" s="155">
        <f>ROUNDUP(SUM(M225:N225),0)</f>
        <v>791</v>
      </c>
      <c r="P225" s="319"/>
    </row>
    <row r="226" spans="1:16" s="156" customFormat="1" ht="58.5" customHeight="1">
      <c r="A226" s="142">
        <v>8</v>
      </c>
      <c r="B226" s="318"/>
      <c r="C226" s="318"/>
      <c r="D226" s="318"/>
      <c r="E226" s="318"/>
      <c r="F226" s="386"/>
      <c r="G226" s="387"/>
      <c r="H226" s="345" t="str">
        <f>$A$87</f>
        <v>ROCKET</v>
      </c>
      <c r="I226" s="346"/>
      <c r="J226" s="157" t="s">
        <v>121</v>
      </c>
      <c r="K226" s="157">
        <f>$P$40</f>
        <v>791</v>
      </c>
      <c r="L226" s="153">
        <v>1</v>
      </c>
      <c r="M226" s="157">
        <f t="shared" si="58"/>
        <v>791</v>
      </c>
      <c r="N226" s="154"/>
      <c r="O226" s="155">
        <f t="shared" si="55"/>
        <v>791</v>
      </c>
      <c r="P226" s="319"/>
    </row>
    <row r="227" spans="1:16" s="156" customFormat="1" ht="58.5" customHeight="1">
      <c r="A227" s="142">
        <v>8</v>
      </c>
      <c r="B227" s="318"/>
      <c r="C227" s="318"/>
      <c r="D227" s="318"/>
      <c r="E227" s="318"/>
      <c r="F227" s="386"/>
      <c r="G227" s="387"/>
      <c r="H227" s="345" t="str">
        <f>$A$91</f>
        <v>ALLOY</v>
      </c>
      <c r="I227" s="346"/>
      <c r="J227" s="157" t="s">
        <v>121</v>
      </c>
      <c r="K227" s="157">
        <f>$P$45</f>
        <v>660</v>
      </c>
      <c r="L227" s="157">
        <v>1</v>
      </c>
      <c r="M227" s="157">
        <f t="shared" ref="M227" si="74">K227*L227</f>
        <v>660</v>
      </c>
      <c r="N227" s="154"/>
      <c r="O227" s="155">
        <f t="shared" ref="O227" si="75">ROUNDUP(SUM(M227:N227),0)</f>
        <v>660</v>
      </c>
      <c r="P227" s="319"/>
    </row>
    <row r="228" spans="1:16" s="156" customFormat="1" ht="58.5" customHeight="1">
      <c r="A228" s="142">
        <v>8</v>
      </c>
      <c r="B228" s="318"/>
      <c r="C228" s="318"/>
      <c r="D228" s="318"/>
      <c r="E228" s="318"/>
      <c r="F228" s="386"/>
      <c r="G228" s="387"/>
      <c r="H228" s="345" t="str">
        <f>$A$95</f>
        <v xml:space="preserve">OPTIC WHITE         </v>
      </c>
      <c r="I228" s="346"/>
      <c r="J228" s="157" t="s">
        <v>121</v>
      </c>
      <c r="K228" s="157">
        <f>$P$50</f>
        <v>660</v>
      </c>
      <c r="L228" s="157">
        <v>1</v>
      </c>
      <c r="M228" s="157">
        <f t="shared" si="58"/>
        <v>660</v>
      </c>
      <c r="N228" s="154"/>
      <c r="O228" s="155">
        <f t="shared" si="55"/>
        <v>660</v>
      </c>
      <c r="P228" s="319"/>
    </row>
    <row r="229" spans="1:16" s="156" customFormat="1" ht="32.65" customHeight="1">
      <c r="F229" s="187"/>
      <c r="G229" s="188"/>
      <c r="H229" s="189"/>
      <c r="I229" s="189"/>
      <c r="J229" s="186"/>
      <c r="K229" s="186"/>
      <c r="L229" s="186"/>
      <c r="M229" s="186"/>
      <c r="N229" s="190"/>
      <c r="O229" s="191"/>
      <c r="P229" s="192"/>
    </row>
    <row r="230" spans="1:16" s="14" customFormat="1" ht="50.15" customHeight="1">
      <c r="B230" s="129" t="s">
        <v>64</v>
      </c>
      <c r="C230" s="130"/>
      <c r="D230" s="131"/>
      <c r="E230" s="131"/>
      <c r="F230" s="131"/>
      <c r="G230" s="132"/>
      <c r="H230" s="131"/>
      <c r="I230" s="131"/>
      <c r="J230" s="342" t="s">
        <v>31</v>
      </c>
      <c r="K230" s="342"/>
      <c r="L230" s="342"/>
      <c r="M230" s="342"/>
      <c r="N230" s="65"/>
      <c r="O230" s="65"/>
      <c r="P230" s="66"/>
    </row>
    <row r="231" spans="1:16" s="143" customFormat="1" ht="38.65" customHeight="1">
      <c r="A231" s="143">
        <v>1</v>
      </c>
      <c r="B231" s="144" t="s">
        <v>176</v>
      </c>
      <c r="C231" s="17"/>
      <c r="D231" s="14"/>
      <c r="E231" s="14"/>
      <c r="F231" s="14"/>
      <c r="G231" s="67"/>
      <c r="H231" s="67"/>
      <c r="I231" s="67"/>
      <c r="J231" s="67"/>
      <c r="K231" s="18"/>
      <c r="L231" s="67"/>
      <c r="M231" s="67"/>
      <c r="N231" s="67"/>
      <c r="O231" s="67"/>
      <c r="P231" s="67"/>
    </row>
    <row r="232" spans="1:16" s="143" customFormat="1" ht="38.65" customHeight="1">
      <c r="B232" s="144" t="s">
        <v>177</v>
      </c>
      <c r="C232" s="17"/>
      <c r="D232" s="14"/>
      <c r="E232" s="14"/>
      <c r="F232" s="14"/>
      <c r="G232" s="67"/>
      <c r="H232" s="67"/>
      <c r="I232" s="67"/>
      <c r="J232" s="67"/>
      <c r="K232" s="18"/>
      <c r="L232" s="67"/>
      <c r="M232" s="67"/>
      <c r="N232" s="67"/>
      <c r="O232" s="67"/>
      <c r="P232" s="67"/>
    </row>
    <row r="233" spans="1:16" s="14" customFormat="1" ht="34.5" customHeight="1">
      <c r="A233" s="143"/>
      <c r="B233" s="343" t="s">
        <v>47</v>
      </c>
      <c r="C233" s="343"/>
      <c r="D233" s="343"/>
      <c r="E233" s="343"/>
      <c r="F233" s="343"/>
      <c r="G233" s="343"/>
      <c r="H233" s="343"/>
      <c r="I233" s="343"/>
      <c r="J233" s="343"/>
      <c r="K233" s="18"/>
      <c r="L233" s="67"/>
      <c r="M233" s="67"/>
      <c r="N233" s="67"/>
      <c r="O233" s="67"/>
      <c r="P233" s="67"/>
    </row>
    <row r="234" spans="1:16" s="14" customFormat="1" ht="34.5" customHeight="1">
      <c r="A234" s="143"/>
      <c r="B234" s="145" t="s">
        <v>40</v>
      </c>
      <c r="C234" s="344" t="s">
        <v>137</v>
      </c>
      <c r="D234" s="344"/>
      <c r="E234" s="344"/>
      <c r="F234" s="344"/>
      <c r="G234" s="344"/>
      <c r="H234" s="344"/>
      <c r="I234" s="344"/>
      <c r="J234" s="344"/>
      <c r="K234" s="67"/>
      <c r="L234" s="67"/>
      <c r="M234" s="67"/>
      <c r="N234" s="67"/>
      <c r="O234" s="67"/>
      <c r="P234" s="67"/>
    </row>
    <row r="235" spans="1:16" s="67" customFormat="1" ht="69" customHeight="1">
      <c r="A235" s="158"/>
      <c r="B235" s="220" t="str">
        <f>$A$71</f>
        <v>DARKEST BLACK</v>
      </c>
      <c r="C235" s="330"/>
      <c r="D235" s="331"/>
      <c r="E235" s="331"/>
      <c r="F235" s="331"/>
      <c r="G235" s="331"/>
      <c r="H235" s="331"/>
      <c r="I235" s="331"/>
      <c r="J235" s="332"/>
    </row>
    <row r="236" spans="1:16" s="67" customFormat="1" ht="69.650000000000006" customHeight="1">
      <c r="A236" s="158"/>
      <c r="B236" s="220" t="str">
        <f>$A$75</f>
        <v>CANOPY</v>
      </c>
      <c r="C236" s="330" t="s">
        <v>200</v>
      </c>
      <c r="D236" s="331"/>
      <c r="E236" s="331"/>
      <c r="F236" s="331"/>
      <c r="G236" s="331"/>
      <c r="H236" s="331"/>
      <c r="I236" s="331"/>
      <c r="J236" s="332"/>
    </row>
    <row r="237" spans="1:16" s="67" customFormat="1" ht="70.5" customHeight="1">
      <c r="A237" s="158"/>
      <c r="B237" s="220" t="str">
        <f>$A$79</f>
        <v xml:space="preserve">HYPER LILAC         </v>
      </c>
      <c r="C237" s="330"/>
      <c r="D237" s="331"/>
      <c r="E237" s="331"/>
      <c r="F237" s="331"/>
      <c r="G237" s="331"/>
      <c r="H237" s="331"/>
      <c r="I237" s="331"/>
      <c r="J237" s="332"/>
    </row>
    <row r="238" spans="1:16" s="67" customFormat="1" ht="73.150000000000006" customHeight="1">
      <c r="A238" s="158"/>
      <c r="B238" s="220" t="str">
        <f>$A$83</f>
        <v>ATOMIC BLASTER</v>
      </c>
      <c r="C238" s="330" t="s">
        <v>201</v>
      </c>
      <c r="D238" s="331"/>
      <c r="E238" s="331"/>
      <c r="F238" s="331"/>
      <c r="G238" s="331"/>
      <c r="H238" s="331"/>
      <c r="I238" s="331"/>
      <c r="J238" s="332"/>
    </row>
    <row r="239" spans="1:16" s="67" customFormat="1" ht="66.650000000000006" customHeight="1">
      <c r="A239" s="158"/>
      <c r="B239" s="220" t="str">
        <f>$A$87</f>
        <v>ROCKET</v>
      </c>
      <c r="C239" s="330" t="s">
        <v>203</v>
      </c>
      <c r="D239" s="331"/>
      <c r="E239" s="331"/>
      <c r="F239" s="331"/>
      <c r="G239" s="331"/>
      <c r="H239" s="331"/>
      <c r="I239" s="331"/>
      <c r="J239" s="332"/>
    </row>
    <row r="240" spans="1:16" s="67" customFormat="1" ht="98.15" customHeight="1">
      <c r="A240" s="158"/>
      <c r="B240" s="220" t="str">
        <f>$A$91</f>
        <v>ALLOY</v>
      </c>
      <c r="C240" s="330" t="s">
        <v>202</v>
      </c>
      <c r="D240" s="331"/>
      <c r="E240" s="331"/>
      <c r="F240" s="331"/>
      <c r="G240" s="331"/>
      <c r="H240" s="331"/>
      <c r="I240" s="331"/>
      <c r="J240" s="332"/>
    </row>
    <row r="241" spans="1:16" s="67" customFormat="1" ht="66.650000000000006" customHeight="1">
      <c r="A241" s="158"/>
      <c r="B241" s="220" t="str">
        <f>$A$95</f>
        <v xml:space="preserve">OPTIC WHITE         </v>
      </c>
      <c r="C241" s="330"/>
      <c r="D241" s="331"/>
      <c r="E241" s="331"/>
      <c r="F241" s="331"/>
      <c r="G241" s="331"/>
      <c r="H241" s="331"/>
      <c r="I241" s="331"/>
      <c r="J241" s="332"/>
    </row>
    <row r="242" spans="1:16" s="67" customFormat="1" ht="32.5">
      <c r="A242" s="158"/>
      <c r="B242" s="327" t="s">
        <v>165</v>
      </c>
      <c r="C242" s="328"/>
      <c r="D242" s="328"/>
      <c r="E242" s="328"/>
      <c r="F242" s="328"/>
      <c r="G242" s="328"/>
      <c r="H242" s="328"/>
      <c r="I242" s="328"/>
      <c r="J242" s="329"/>
    </row>
    <row r="243" spans="1:16" s="67" customFormat="1" ht="32.5">
      <c r="A243" s="158"/>
      <c r="B243" s="322" t="s">
        <v>59</v>
      </c>
      <c r="C243" s="322"/>
      <c r="D243" s="414" t="s">
        <v>65</v>
      </c>
      <c r="E243" s="415"/>
      <c r="F243" s="159" t="s">
        <v>58</v>
      </c>
      <c r="G243" s="159" t="s">
        <v>10</v>
      </c>
      <c r="H243" s="159" t="s">
        <v>55</v>
      </c>
      <c r="I243" s="159" t="s">
        <v>56</v>
      </c>
      <c r="J243" s="160" t="s">
        <v>57</v>
      </c>
    </row>
    <row r="244" spans="1:16" s="67" customFormat="1" ht="84" customHeight="1">
      <c r="A244" s="158"/>
      <c r="B244" s="323" t="s">
        <v>138</v>
      </c>
      <c r="C244" s="324"/>
      <c r="D244" s="333" t="s">
        <v>160</v>
      </c>
      <c r="E244" s="334"/>
      <c r="F244" s="334"/>
      <c r="G244" s="334"/>
      <c r="H244" s="334"/>
      <c r="I244" s="334"/>
      <c r="J244" s="335"/>
    </row>
    <row r="245" spans="1:16" s="67" customFormat="1" ht="97.15" customHeight="1">
      <c r="A245" s="158"/>
      <c r="B245" s="413" t="s">
        <v>139</v>
      </c>
      <c r="C245" s="326"/>
      <c r="D245" s="416"/>
      <c r="E245" s="417"/>
      <c r="F245" s="225"/>
      <c r="G245" s="225">
        <v>7</v>
      </c>
      <c r="H245" s="225"/>
      <c r="I245" s="225"/>
      <c r="J245" s="225"/>
    </row>
    <row r="246" spans="1:16" s="67" customFormat="1" ht="65.650000000000006" customHeight="1">
      <c r="A246" s="158"/>
      <c r="B246" s="413" t="s">
        <v>140</v>
      </c>
      <c r="C246" s="326"/>
      <c r="D246" s="416"/>
      <c r="E246" s="417"/>
      <c r="F246" s="224"/>
      <c r="G246" s="224">
        <v>15.5</v>
      </c>
      <c r="H246" s="224"/>
      <c r="I246" s="224"/>
      <c r="J246" s="224"/>
    </row>
    <row r="247" spans="1:16" s="14" customFormat="1" ht="20.6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67"/>
      <c r="K247" s="67"/>
      <c r="L247" s="67"/>
      <c r="M247" s="67"/>
      <c r="N247" s="67"/>
      <c r="O247" s="67"/>
      <c r="P247" s="67"/>
    </row>
    <row r="248" spans="1:16" s="14" customFormat="1" ht="50.15" customHeight="1">
      <c r="B248" s="129" t="s">
        <v>64</v>
      </c>
      <c r="C248" s="130"/>
      <c r="D248" s="131"/>
      <c r="E248" s="131"/>
      <c r="F248" s="131"/>
      <c r="G248" s="132"/>
      <c r="H248" s="131"/>
      <c r="I248" s="131"/>
      <c r="J248" s="342" t="s">
        <v>31</v>
      </c>
      <c r="K248" s="342"/>
      <c r="L248" s="342"/>
      <c r="M248" s="342"/>
      <c r="N248" s="65"/>
      <c r="O248" s="65"/>
      <c r="P248" s="66"/>
    </row>
    <row r="249" spans="1:16" s="143" customFormat="1" ht="34.5" customHeight="1">
      <c r="B249" s="144" t="s">
        <v>164</v>
      </c>
      <c r="C249" s="17"/>
      <c r="D249" s="14"/>
      <c r="E249" s="14"/>
      <c r="F249" s="14"/>
      <c r="G249" s="67"/>
      <c r="H249" s="67"/>
      <c r="I249" s="67"/>
      <c r="J249" s="67"/>
      <c r="K249" s="18"/>
      <c r="L249" s="67"/>
      <c r="M249" s="67"/>
      <c r="N249" s="67"/>
      <c r="O249" s="67"/>
      <c r="P249" s="67"/>
    </row>
    <row r="250" spans="1:16" s="14" customFormat="1" ht="34.5" customHeight="1">
      <c r="A250" s="143"/>
      <c r="B250" s="343" t="s">
        <v>47</v>
      </c>
      <c r="C250" s="343"/>
      <c r="D250" s="343"/>
      <c r="E250" s="343"/>
      <c r="F250" s="343"/>
      <c r="G250" s="343"/>
      <c r="H250" s="343"/>
      <c r="I250" s="343"/>
      <c r="J250" s="343"/>
      <c r="K250" s="18"/>
      <c r="L250" s="67"/>
      <c r="M250" s="67"/>
      <c r="N250" s="67"/>
      <c r="O250" s="67"/>
      <c r="P250" s="67"/>
    </row>
    <row r="251" spans="1:16" s="14" customFormat="1" ht="34.5" customHeight="1">
      <c r="A251" s="143"/>
      <c r="B251" s="145" t="s">
        <v>40</v>
      </c>
      <c r="C251" s="344" t="s">
        <v>137</v>
      </c>
      <c r="D251" s="344"/>
      <c r="E251" s="344"/>
      <c r="F251" s="344"/>
      <c r="G251" s="344"/>
      <c r="H251" s="344"/>
      <c r="I251" s="344"/>
      <c r="J251" s="344"/>
      <c r="K251" s="67"/>
      <c r="L251" s="67"/>
      <c r="M251" s="67"/>
      <c r="N251" s="67"/>
      <c r="O251" s="67"/>
      <c r="P251" s="67"/>
    </row>
    <row r="252" spans="1:16" s="67" customFormat="1" ht="61.15" customHeight="1">
      <c r="A252" s="158"/>
      <c r="B252" s="220" t="str">
        <f>$A$71</f>
        <v>DARKEST BLACK</v>
      </c>
      <c r="C252" s="373" t="s">
        <v>204</v>
      </c>
      <c r="D252" s="373"/>
      <c r="E252" s="373"/>
      <c r="F252" s="373"/>
      <c r="G252" s="373"/>
      <c r="H252" s="373"/>
      <c r="I252" s="373"/>
      <c r="J252" s="373"/>
    </row>
    <row r="253" spans="1:16" s="67" customFormat="1" ht="61.15" customHeight="1">
      <c r="A253" s="158"/>
      <c r="B253" s="220" t="str">
        <f>$A$75</f>
        <v>CANOPY</v>
      </c>
      <c r="C253" s="373" t="s">
        <v>204</v>
      </c>
      <c r="D253" s="373"/>
      <c r="E253" s="373"/>
      <c r="F253" s="373"/>
      <c r="G253" s="373"/>
      <c r="H253" s="373"/>
      <c r="I253" s="373"/>
      <c r="J253" s="373"/>
    </row>
    <row r="254" spans="1:16" s="67" customFormat="1" ht="61.15" customHeight="1">
      <c r="A254" s="158"/>
      <c r="B254" s="220" t="str">
        <f>$A$79</f>
        <v xml:space="preserve">HYPER LILAC         </v>
      </c>
      <c r="C254" s="373" t="s">
        <v>204</v>
      </c>
      <c r="D254" s="373"/>
      <c r="E254" s="373"/>
      <c r="F254" s="373"/>
      <c r="G254" s="373"/>
      <c r="H254" s="373"/>
      <c r="I254" s="373"/>
      <c r="J254" s="373"/>
    </row>
    <row r="255" spans="1:16" s="67" customFormat="1" ht="61.15" customHeight="1">
      <c r="A255" s="158"/>
      <c r="B255" s="220" t="str">
        <f>$A$83</f>
        <v>ATOMIC BLASTER</v>
      </c>
      <c r="C255" s="373" t="s">
        <v>204</v>
      </c>
      <c r="D255" s="373"/>
      <c r="E255" s="373"/>
      <c r="F255" s="373"/>
      <c r="G255" s="373"/>
      <c r="H255" s="373"/>
      <c r="I255" s="373"/>
      <c r="J255" s="373"/>
    </row>
    <row r="256" spans="1:16" s="67" customFormat="1" ht="72.650000000000006" customHeight="1">
      <c r="A256" s="158"/>
      <c r="B256" s="220" t="str">
        <f>$A$87</f>
        <v>ROCKET</v>
      </c>
      <c r="C256" s="373" t="s">
        <v>204</v>
      </c>
      <c r="D256" s="373"/>
      <c r="E256" s="373"/>
      <c r="F256" s="373"/>
      <c r="G256" s="373"/>
      <c r="H256" s="373"/>
      <c r="I256" s="373"/>
      <c r="J256" s="373"/>
    </row>
    <row r="257" spans="1:16" s="67" customFormat="1" ht="72.650000000000006" customHeight="1">
      <c r="A257" s="158"/>
      <c r="B257" s="220" t="str">
        <f>$A$91</f>
        <v>ALLOY</v>
      </c>
      <c r="C257" s="373" t="s">
        <v>204</v>
      </c>
      <c r="D257" s="373"/>
      <c r="E257" s="373"/>
      <c r="F257" s="373"/>
      <c r="G257" s="373"/>
      <c r="H257" s="373"/>
      <c r="I257" s="373"/>
      <c r="J257" s="373"/>
    </row>
    <row r="258" spans="1:16" s="67" customFormat="1" ht="72.650000000000006" customHeight="1">
      <c r="A258" s="158"/>
      <c r="B258" s="220" t="str">
        <f>$A$95</f>
        <v xml:space="preserve">OPTIC WHITE         </v>
      </c>
      <c r="C258" s="373" t="s">
        <v>204</v>
      </c>
      <c r="D258" s="373"/>
      <c r="E258" s="373"/>
      <c r="F258" s="373"/>
      <c r="G258" s="373"/>
      <c r="H258" s="373"/>
      <c r="I258" s="373"/>
      <c r="J258" s="373"/>
    </row>
    <row r="259" spans="1:16" s="67" customFormat="1" ht="32.5">
      <c r="A259" s="158"/>
      <c r="B259" s="327" t="s">
        <v>165</v>
      </c>
      <c r="C259" s="328"/>
      <c r="D259" s="328"/>
      <c r="E259" s="328"/>
      <c r="F259" s="328"/>
      <c r="G259" s="328"/>
      <c r="H259" s="328"/>
      <c r="I259" s="328"/>
      <c r="J259" s="329"/>
    </row>
    <row r="260" spans="1:16" s="67" customFormat="1" ht="32.5">
      <c r="A260" s="158"/>
      <c r="B260" s="322" t="s">
        <v>59</v>
      </c>
      <c r="C260" s="322"/>
      <c r="D260" s="414" t="s">
        <v>65</v>
      </c>
      <c r="E260" s="415"/>
      <c r="F260" s="159" t="s">
        <v>58</v>
      </c>
      <c r="G260" s="159" t="s">
        <v>10</v>
      </c>
      <c r="H260" s="159" t="s">
        <v>55</v>
      </c>
      <c r="I260" s="159" t="s">
        <v>56</v>
      </c>
      <c r="J260" s="160" t="s">
        <v>57</v>
      </c>
    </row>
    <row r="261" spans="1:16" s="67" customFormat="1" ht="39.65" customHeight="1">
      <c r="A261" s="158"/>
      <c r="B261" s="323" t="s">
        <v>168</v>
      </c>
      <c r="C261" s="324"/>
      <c r="D261" s="333" t="s">
        <v>166</v>
      </c>
      <c r="E261" s="334"/>
      <c r="F261" s="334"/>
      <c r="G261" s="334"/>
      <c r="H261" s="334"/>
      <c r="I261" s="334"/>
      <c r="J261" s="335"/>
    </row>
    <row r="262" spans="1:16" s="67" customFormat="1" ht="98.65" customHeight="1">
      <c r="A262" s="158"/>
      <c r="B262" s="325" t="s">
        <v>167</v>
      </c>
      <c r="C262" s="326"/>
      <c r="D262" s="416"/>
      <c r="E262" s="417"/>
      <c r="F262" s="224"/>
      <c r="G262" s="224">
        <v>6.5</v>
      </c>
      <c r="H262" s="224"/>
      <c r="I262" s="224"/>
      <c r="J262" s="224"/>
    </row>
    <row r="263" spans="1:16" s="143" customFormat="1" ht="34.5" customHeight="1">
      <c r="A263" s="15">
        <v>2</v>
      </c>
      <c r="B263" s="144" t="s">
        <v>113</v>
      </c>
      <c r="C263" s="412" t="s">
        <v>150</v>
      </c>
      <c r="D263" s="412"/>
      <c r="E263" s="412"/>
      <c r="F263" s="412"/>
      <c r="G263" s="67"/>
      <c r="H263" s="67"/>
      <c r="I263" s="67"/>
      <c r="J263" s="67"/>
      <c r="K263" s="18"/>
      <c r="L263" s="67"/>
      <c r="M263" s="67"/>
      <c r="N263" s="67"/>
      <c r="O263" s="67"/>
      <c r="P263" s="67"/>
    </row>
    <row r="264" spans="1:16" s="143" customFormat="1" ht="34.5" customHeight="1">
      <c r="A264" s="15">
        <v>3</v>
      </c>
      <c r="B264" s="144" t="s">
        <v>114</v>
      </c>
      <c r="C264" s="17" t="s">
        <v>151</v>
      </c>
      <c r="D264" s="17"/>
      <c r="E264" s="17"/>
      <c r="F264" s="17"/>
      <c r="G264" s="67"/>
      <c r="H264" s="67"/>
      <c r="I264" s="67"/>
      <c r="J264" s="67"/>
      <c r="K264" s="18"/>
      <c r="L264" s="67"/>
      <c r="M264" s="67"/>
      <c r="N264" s="67"/>
      <c r="O264" s="67"/>
      <c r="P264" s="67"/>
    </row>
    <row r="265" spans="1:16" s="14" customFormat="1" ht="33.75" customHeight="1">
      <c r="A265" s="143"/>
      <c r="B265" s="143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</row>
    <row r="266" spans="1:16" s="14" customFormat="1" ht="48.65" customHeight="1">
      <c r="B266" s="342" t="s">
        <v>111</v>
      </c>
      <c r="C266" s="342"/>
      <c r="D266" s="342"/>
      <c r="E266" s="342"/>
      <c r="G266" s="67"/>
      <c r="M266" s="66"/>
      <c r="N266" s="65"/>
      <c r="O266" s="65"/>
      <c r="P266" s="66"/>
    </row>
    <row r="267" spans="1:16" s="14" customFormat="1" ht="35.25" customHeight="1">
      <c r="A267" s="143">
        <v>1</v>
      </c>
      <c r="B267" s="146" t="s">
        <v>152</v>
      </c>
      <c r="C267" s="143"/>
      <c r="D267" s="143"/>
      <c r="G267" s="67"/>
      <c r="M267" s="66"/>
      <c r="N267" s="65"/>
      <c r="O267" s="65"/>
      <c r="P267" s="66"/>
    </row>
    <row r="268" spans="1:16" s="14" customFormat="1" ht="35.25" customHeight="1">
      <c r="A268" s="143">
        <v>2</v>
      </c>
      <c r="B268" s="146" t="s">
        <v>153</v>
      </c>
      <c r="C268" s="143"/>
      <c r="D268" s="143"/>
      <c r="G268" s="67"/>
      <c r="M268" s="66"/>
      <c r="N268" s="65"/>
      <c r="O268" s="65"/>
      <c r="P268" s="66"/>
    </row>
    <row r="269" spans="1:16" s="14" customFormat="1" ht="35.15" customHeight="1">
      <c r="A269" s="143">
        <v>3</v>
      </c>
      <c r="B269" s="146" t="s">
        <v>154</v>
      </c>
      <c r="C269" s="143"/>
      <c r="D269" s="143"/>
      <c r="G269" s="67"/>
      <c r="M269" s="66"/>
      <c r="N269" s="65"/>
      <c r="O269" s="65"/>
      <c r="P269" s="66"/>
    </row>
    <row r="270" spans="1:16" s="17" customFormat="1" ht="32.5">
      <c r="A270" s="15"/>
      <c r="B270" s="68" t="s">
        <v>59</v>
      </c>
      <c r="C270" s="69" t="s">
        <v>65</v>
      </c>
      <c r="D270" s="69" t="s">
        <v>58</v>
      </c>
      <c r="E270" s="69" t="s">
        <v>10</v>
      </c>
      <c r="F270" s="69" t="s">
        <v>55</v>
      </c>
      <c r="G270" s="69" t="s">
        <v>56</v>
      </c>
      <c r="H270" s="69" t="s">
        <v>57</v>
      </c>
      <c r="J270" s="70"/>
      <c r="K270" s="71"/>
      <c r="L270" s="71"/>
      <c r="M270" s="70"/>
    </row>
    <row r="271" spans="1:16" s="17" customFormat="1" ht="32.5">
      <c r="A271" s="15"/>
      <c r="B271" s="68" t="s">
        <v>60</v>
      </c>
      <c r="C271" s="64">
        <f t="shared" ref="C271:H271" si="76">G67</f>
        <v>120</v>
      </c>
      <c r="D271" s="64">
        <f t="shared" si="76"/>
        <v>1272</v>
      </c>
      <c r="E271" s="64">
        <f t="shared" si="76"/>
        <v>2016</v>
      </c>
      <c r="F271" s="64">
        <f t="shared" si="76"/>
        <v>1760</v>
      </c>
      <c r="G271" s="64">
        <f t="shared" si="76"/>
        <v>1007</v>
      </c>
      <c r="H271" s="64">
        <f t="shared" si="76"/>
        <v>281</v>
      </c>
      <c r="J271" s="70"/>
      <c r="K271" s="71"/>
      <c r="L271" s="71"/>
      <c r="M271" s="70"/>
    </row>
    <row r="272" spans="1:16" s="14" customFormat="1" ht="35.15" customHeight="1">
      <c r="A272" s="143">
        <v>4</v>
      </c>
      <c r="B272" s="146" t="s">
        <v>161</v>
      </c>
      <c r="C272" s="143"/>
      <c r="D272" s="143"/>
      <c r="G272" s="67"/>
      <c r="M272" s="66"/>
      <c r="N272" s="65"/>
      <c r="O272" s="65"/>
      <c r="P272" s="66"/>
    </row>
    <row r="273" spans="1:16" s="14" customFormat="1" ht="35.15" customHeight="1">
      <c r="A273" s="143">
        <v>5</v>
      </c>
      <c r="B273" s="146" t="s">
        <v>162</v>
      </c>
      <c r="C273" s="143"/>
      <c r="D273" s="143"/>
      <c r="G273" s="67"/>
      <c r="M273" s="66"/>
      <c r="N273" s="65"/>
      <c r="O273" s="65"/>
      <c r="P273" s="66"/>
    </row>
    <row r="274" spans="1:16" s="17" customFormat="1" ht="32.5">
      <c r="A274" s="15"/>
      <c r="B274" s="421" t="s">
        <v>59</v>
      </c>
      <c r="C274" s="422"/>
      <c r="D274" s="69" t="s">
        <v>65</v>
      </c>
      <c r="E274" s="69" t="s">
        <v>58</v>
      </c>
      <c r="F274" s="69" t="s">
        <v>10</v>
      </c>
      <c r="G274" s="69" t="s">
        <v>55</v>
      </c>
      <c r="H274" s="69" t="s">
        <v>56</v>
      </c>
      <c r="I274" s="69" t="s">
        <v>57</v>
      </c>
      <c r="K274" s="70"/>
      <c r="L274" s="71"/>
      <c r="M274" s="71"/>
      <c r="N274" s="70"/>
    </row>
    <row r="275" spans="1:16" s="17" customFormat="1" ht="32.5">
      <c r="A275" s="15"/>
      <c r="B275" s="421" t="s">
        <v>163</v>
      </c>
      <c r="C275" s="422"/>
      <c r="D275" s="64">
        <v>114</v>
      </c>
      <c r="E275" s="64">
        <v>115</v>
      </c>
      <c r="F275" s="64">
        <v>116</v>
      </c>
      <c r="G275" s="64">
        <v>117</v>
      </c>
      <c r="H275" s="64">
        <v>118</v>
      </c>
      <c r="I275" s="64">
        <v>119</v>
      </c>
      <c r="K275" s="70"/>
      <c r="L275" s="71"/>
      <c r="M275" s="71"/>
      <c r="N275" s="70"/>
    </row>
    <row r="276" spans="1:16" s="162" customFormat="1" ht="112.15" customHeight="1">
      <c r="B276" s="161" t="s">
        <v>141</v>
      </c>
      <c r="C276" s="419" t="s">
        <v>189</v>
      </c>
      <c r="D276" s="420"/>
      <c r="E276" s="420"/>
      <c r="F276" s="420"/>
      <c r="G276" s="420"/>
      <c r="H276" s="420"/>
      <c r="I276" s="420"/>
      <c r="J276" s="420"/>
      <c r="K276" s="420"/>
      <c r="L276" s="420"/>
      <c r="M276" s="420"/>
      <c r="N276" s="420"/>
      <c r="O276" s="420"/>
      <c r="P276" s="420"/>
    </row>
    <row r="277" spans="1:16" s="162" customFormat="1" ht="106.15" customHeight="1">
      <c r="B277" s="161"/>
      <c r="C277" s="419" t="s">
        <v>188</v>
      </c>
      <c r="D277" s="419"/>
      <c r="E277" s="419"/>
      <c r="F277" s="419"/>
      <c r="G277" s="419"/>
      <c r="H277" s="419"/>
      <c r="I277" s="419"/>
      <c r="J277" s="419"/>
      <c r="K277" s="419"/>
      <c r="L277" s="419"/>
      <c r="M277" s="419"/>
      <c r="N277" s="419"/>
      <c r="O277" s="419"/>
      <c r="P277" s="419"/>
    </row>
    <row r="278" spans="1:16" s="162" customFormat="1" ht="71">
      <c r="B278" s="161"/>
      <c r="C278" s="161"/>
      <c r="G278" s="163"/>
    </row>
    <row r="279" spans="1:16" s="147" customFormat="1" ht="32.5">
      <c r="G279" s="148"/>
    </row>
    <row r="280" spans="1:16" s="147" customFormat="1" ht="32.5">
      <c r="G280" s="148"/>
    </row>
    <row r="281" spans="1:16" s="147" customFormat="1" ht="32.5">
      <c r="G281" s="148"/>
    </row>
    <row r="282" spans="1:16" s="147" customFormat="1" ht="32.5">
      <c r="G282" s="148"/>
    </row>
    <row r="283" spans="1:16" s="147" customFormat="1" ht="32.5">
      <c r="G283" s="148"/>
    </row>
    <row r="284" spans="1:16" s="147" customFormat="1" ht="32.5">
      <c r="G284" s="148"/>
    </row>
    <row r="285" spans="1:16" s="147" customFormat="1" ht="32.5">
      <c r="G285" s="148"/>
    </row>
    <row r="286" spans="1:16" s="147" customFormat="1" ht="32.5">
      <c r="G286" s="148"/>
    </row>
    <row r="287" spans="1:16" s="147" customFormat="1" ht="32.5">
      <c r="G287" s="148"/>
    </row>
    <row r="288" spans="1:16" s="147" customFormat="1" ht="32.5">
      <c r="G288" s="148"/>
    </row>
    <row r="289" spans="7:7" s="147" customFormat="1" ht="32.5">
      <c r="G289" s="148"/>
    </row>
    <row r="290" spans="7:7" s="147" customFormat="1" ht="32.5">
      <c r="G290" s="148"/>
    </row>
    <row r="291" spans="7:7" s="147" customFormat="1" ht="32.5">
      <c r="G291" s="148"/>
    </row>
    <row r="292" spans="7:7" s="147" customFormat="1" ht="32.5">
      <c r="G292" s="148"/>
    </row>
    <row r="293" spans="7:7" s="147" customFormat="1" ht="32.5">
      <c r="G293" s="148"/>
    </row>
    <row r="294" spans="7:7" s="147" customFormat="1" ht="32.5">
      <c r="G294" s="148"/>
    </row>
    <row r="295" spans="7:7" s="147" customFormat="1" ht="32.5">
      <c r="G295" s="148"/>
    </row>
    <row r="296" spans="7:7" s="147" customFormat="1" ht="32.5">
      <c r="G296" s="148"/>
    </row>
    <row r="297" spans="7:7" s="147" customFormat="1" ht="32.5">
      <c r="G297" s="148"/>
    </row>
    <row r="298" spans="7:7" s="147" customFormat="1" ht="32.5">
      <c r="G298" s="148"/>
    </row>
    <row r="299" spans="7:7" s="147" customFormat="1" ht="32.5">
      <c r="G299" s="148"/>
    </row>
  </sheetData>
  <mergeCells count="280">
    <mergeCell ref="B94:C94"/>
    <mergeCell ref="M94:P94"/>
    <mergeCell ref="F135:F141"/>
    <mergeCell ref="B89:C89"/>
    <mergeCell ref="M89:P89"/>
    <mergeCell ref="B90:C90"/>
    <mergeCell ref="M90:P90"/>
    <mergeCell ref="A91:P91"/>
    <mergeCell ref="B92:C92"/>
    <mergeCell ref="M92:P92"/>
    <mergeCell ref="B93:C93"/>
    <mergeCell ref="M93:P93"/>
    <mergeCell ref="B104:C104"/>
    <mergeCell ref="B114:E120"/>
    <mergeCell ref="B121:E127"/>
    <mergeCell ref="G121:G127"/>
    <mergeCell ref="F121:F127"/>
    <mergeCell ref="B128:E134"/>
    <mergeCell ref="F128:F134"/>
    <mergeCell ref="P128:P134"/>
    <mergeCell ref="B135:E141"/>
    <mergeCell ref="B110:C110"/>
    <mergeCell ref="M110:P110"/>
    <mergeCell ref="H114:I114"/>
    <mergeCell ref="B84:C84"/>
    <mergeCell ref="M84:P84"/>
    <mergeCell ref="B85:C85"/>
    <mergeCell ref="M85:P85"/>
    <mergeCell ref="B86:C86"/>
    <mergeCell ref="M86:P86"/>
    <mergeCell ref="A87:P87"/>
    <mergeCell ref="B88:C88"/>
    <mergeCell ref="M88:P88"/>
    <mergeCell ref="B173:E179"/>
    <mergeCell ref="C277:P277"/>
    <mergeCell ref="C276:P276"/>
    <mergeCell ref="B274:C274"/>
    <mergeCell ref="B275:C275"/>
    <mergeCell ref="B266:E266"/>
    <mergeCell ref="D244:J244"/>
    <mergeCell ref="H217:I217"/>
    <mergeCell ref="H218:I218"/>
    <mergeCell ref="H215:I215"/>
    <mergeCell ref="H216:I216"/>
    <mergeCell ref="H224:I224"/>
    <mergeCell ref="H225:I225"/>
    <mergeCell ref="H208:I208"/>
    <mergeCell ref="H209:I209"/>
    <mergeCell ref="H203:I203"/>
    <mergeCell ref="H204:I204"/>
    <mergeCell ref="C254:J254"/>
    <mergeCell ref="H210:I210"/>
    <mergeCell ref="H211:I211"/>
    <mergeCell ref="D243:E243"/>
    <mergeCell ref="D245:E245"/>
    <mergeCell ref="D246:E246"/>
    <mergeCell ref="H219:I219"/>
    <mergeCell ref="A172:E172"/>
    <mergeCell ref="H136:I136"/>
    <mergeCell ref="M70:P70"/>
    <mergeCell ref="M72:P72"/>
    <mergeCell ref="H113:I113"/>
    <mergeCell ref="A75:P75"/>
    <mergeCell ref="B76:C76"/>
    <mergeCell ref="M76:P76"/>
    <mergeCell ref="B78:C78"/>
    <mergeCell ref="M78:P78"/>
    <mergeCell ref="B72:C72"/>
    <mergeCell ref="A113:E113"/>
    <mergeCell ref="M80:P80"/>
    <mergeCell ref="A107:P107"/>
    <mergeCell ref="B108:C108"/>
    <mergeCell ref="M108:P108"/>
    <mergeCell ref="B109:C109"/>
    <mergeCell ref="M109:P109"/>
    <mergeCell ref="M98:P98"/>
    <mergeCell ref="B106:C106"/>
    <mergeCell ref="A103:P103"/>
    <mergeCell ref="B105:C105"/>
    <mergeCell ref="M105:P105"/>
    <mergeCell ref="B163:E169"/>
    <mergeCell ref="C263:F263"/>
    <mergeCell ref="B244:C244"/>
    <mergeCell ref="B245:C245"/>
    <mergeCell ref="B246:C246"/>
    <mergeCell ref="B262:C262"/>
    <mergeCell ref="B261:C261"/>
    <mergeCell ref="H221:I221"/>
    <mergeCell ref="H228:I228"/>
    <mergeCell ref="C239:J239"/>
    <mergeCell ref="D261:J261"/>
    <mergeCell ref="D260:E260"/>
    <mergeCell ref="D262:E262"/>
    <mergeCell ref="H227:I227"/>
    <mergeCell ref="B259:J259"/>
    <mergeCell ref="B260:C260"/>
    <mergeCell ref="C237:J237"/>
    <mergeCell ref="B250:J250"/>
    <mergeCell ref="C251:J251"/>
    <mergeCell ref="C252:J252"/>
    <mergeCell ref="C253:J253"/>
    <mergeCell ref="C258:J258"/>
    <mergeCell ref="C240:J240"/>
    <mergeCell ref="C255:J255"/>
    <mergeCell ref="C256:J256"/>
    <mergeCell ref="M82:P82"/>
    <mergeCell ref="B73:C73"/>
    <mergeCell ref="M73:P73"/>
    <mergeCell ref="B96:C96"/>
    <mergeCell ref="B98:C98"/>
    <mergeCell ref="B100:C100"/>
    <mergeCell ref="B102:C102"/>
    <mergeCell ref="B81:C81"/>
    <mergeCell ref="M81:P81"/>
    <mergeCell ref="B77:C77"/>
    <mergeCell ref="M77:P77"/>
    <mergeCell ref="B97:C97"/>
    <mergeCell ref="M97:P97"/>
    <mergeCell ref="B101:C101"/>
    <mergeCell ref="M101:P101"/>
    <mergeCell ref="B74:C74"/>
    <mergeCell ref="B80:C80"/>
    <mergeCell ref="B82:C82"/>
    <mergeCell ref="A99:P99"/>
    <mergeCell ref="M100:P100"/>
    <mergeCell ref="M102:P102"/>
    <mergeCell ref="A95:P95"/>
    <mergeCell ref="M96:P96"/>
    <mergeCell ref="A83:P83"/>
    <mergeCell ref="M1:N1"/>
    <mergeCell ref="O1:P1"/>
    <mergeCell ref="M2:N2"/>
    <mergeCell ref="O2:P2"/>
    <mergeCell ref="M3:N3"/>
    <mergeCell ref="O3:P3"/>
    <mergeCell ref="A71:P71"/>
    <mergeCell ref="B243:C243"/>
    <mergeCell ref="B233:J233"/>
    <mergeCell ref="C234:J234"/>
    <mergeCell ref="C241:J241"/>
    <mergeCell ref="B242:J242"/>
    <mergeCell ref="H200:I200"/>
    <mergeCell ref="H149:I149"/>
    <mergeCell ref="M74:P74"/>
    <mergeCell ref="B13:F13"/>
    <mergeCell ref="A70:C70"/>
    <mergeCell ref="G5:L8"/>
    <mergeCell ref="J230:M230"/>
    <mergeCell ref="H189:I189"/>
    <mergeCell ref="H193:I193"/>
    <mergeCell ref="H177:I177"/>
    <mergeCell ref="L11:P11"/>
    <mergeCell ref="A79:P79"/>
    <mergeCell ref="H121:I121"/>
    <mergeCell ref="H128:I128"/>
    <mergeCell ref="H115:I115"/>
    <mergeCell ref="H139:I139"/>
    <mergeCell ref="H117:I117"/>
    <mergeCell ref="H116:I116"/>
    <mergeCell ref="H118:I118"/>
    <mergeCell ref="H119:I119"/>
    <mergeCell ref="H122:I122"/>
    <mergeCell ref="H123:I123"/>
    <mergeCell ref="H132:I132"/>
    <mergeCell ref="H129:I129"/>
    <mergeCell ref="M104:P104"/>
    <mergeCell ref="M106:P106"/>
    <mergeCell ref="H126:I126"/>
    <mergeCell ref="H154:I154"/>
    <mergeCell ref="H161:I161"/>
    <mergeCell ref="H120:I120"/>
    <mergeCell ref="H127:I127"/>
    <mergeCell ref="H124:I124"/>
    <mergeCell ref="H125:I125"/>
    <mergeCell ref="H134:I134"/>
    <mergeCell ref="H144:I144"/>
    <mergeCell ref="H145:I145"/>
    <mergeCell ref="H142:I142"/>
    <mergeCell ref="H143:I143"/>
    <mergeCell ref="H141:I141"/>
    <mergeCell ref="H137:I137"/>
    <mergeCell ref="H130:I130"/>
    <mergeCell ref="H131:I131"/>
    <mergeCell ref="H133:I133"/>
    <mergeCell ref="H140:I140"/>
    <mergeCell ref="H147:I147"/>
    <mergeCell ref="P135:P141"/>
    <mergeCell ref="H138:I138"/>
    <mergeCell ref="H135:I135"/>
    <mergeCell ref="H146:I146"/>
    <mergeCell ref="H174:I174"/>
    <mergeCell ref="H162:I162"/>
    <mergeCell ref="H155:I155"/>
    <mergeCell ref="H168:I168"/>
    <mergeCell ref="H167:I167"/>
    <mergeCell ref="H160:I160"/>
    <mergeCell ref="H163:I163"/>
    <mergeCell ref="H164:I164"/>
    <mergeCell ref="H165:I165"/>
    <mergeCell ref="H150:I150"/>
    <mergeCell ref="H151:I151"/>
    <mergeCell ref="H152:I152"/>
    <mergeCell ref="H153:I153"/>
    <mergeCell ref="H172:I172"/>
    <mergeCell ref="H176:I176"/>
    <mergeCell ref="H173:I173"/>
    <mergeCell ref="H175:I175"/>
    <mergeCell ref="H166:I166"/>
    <mergeCell ref="H169:I169"/>
    <mergeCell ref="H156:I156"/>
    <mergeCell ref="H157:I157"/>
    <mergeCell ref="H158:I158"/>
    <mergeCell ref="H159:I159"/>
    <mergeCell ref="H199:I199"/>
    <mergeCell ref="H206:I206"/>
    <mergeCell ref="H213:I213"/>
    <mergeCell ref="H205:I205"/>
    <mergeCell ref="H207:I207"/>
    <mergeCell ref="H212:I212"/>
    <mergeCell ref="H220:I220"/>
    <mergeCell ref="H214:I214"/>
    <mergeCell ref="B142:E148"/>
    <mergeCell ref="F142:F148"/>
    <mergeCell ref="G142:G148"/>
    <mergeCell ref="B149:E155"/>
    <mergeCell ref="B156:E162"/>
    <mergeCell ref="F149:F155"/>
    <mergeCell ref="F156:F162"/>
    <mergeCell ref="B194:E200"/>
    <mergeCell ref="F194:F200"/>
    <mergeCell ref="G194:G200"/>
    <mergeCell ref="H198:I198"/>
    <mergeCell ref="H196:I196"/>
    <mergeCell ref="H197:I197"/>
    <mergeCell ref="H194:I194"/>
    <mergeCell ref="H195:I195"/>
    <mergeCell ref="B201:E207"/>
    <mergeCell ref="P156:P162"/>
    <mergeCell ref="H148:I148"/>
    <mergeCell ref="F173:F179"/>
    <mergeCell ref="G173:G179"/>
    <mergeCell ref="B180:E186"/>
    <mergeCell ref="F180:F186"/>
    <mergeCell ref="P180:P186"/>
    <mergeCell ref="B187:E193"/>
    <mergeCell ref="P187:P193"/>
    <mergeCell ref="F187:F193"/>
    <mergeCell ref="H191:I191"/>
    <mergeCell ref="H179:I179"/>
    <mergeCell ref="H190:I190"/>
    <mergeCell ref="H183:I183"/>
    <mergeCell ref="H185:I185"/>
    <mergeCell ref="H192:I192"/>
    <mergeCell ref="H182:I182"/>
    <mergeCell ref="H180:I180"/>
    <mergeCell ref="H181:I181"/>
    <mergeCell ref="H187:I187"/>
    <mergeCell ref="H188:I188"/>
    <mergeCell ref="H184:I184"/>
    <mergeCell ref="H186:I186"/>
    <mergeCell ref="H178:I178"/>
    <mergeCell ref="C257:J257"/>
    <mergeCell ref="J248:M248"/>
    <mergeCell ref="C235:J235"/>
    <mergeCell ref="C236:J236"/>
    <mergeCell ref="C238:J238"/>
    <mergeCell ref="F201:F207"/>
    <mergeCell ref="B208:E214"/>
    <mergeCell ref="F208:F214"/>
    <mergeCell ref="P222:P228"/>
    <mergeCell ref="B215:E221"/>
    <mergeCell ref="F215:F221"/>
    <mergeCell ref="B222:E228"/>
    <mergeCell ref="F222:F228"/>
    <mergeCell ref="G222:G228"/>
    <mergeCell ref="H226:I226"/>
    <mergeCell ref="H201:I201"/>
    <mergeCell ref="H202:I202"/>
    <mergeCell ref="H222:I222"/>
    <mergeCell ref="H223:I223"/>
  </mergeCells>
  <printOptions horizontalCentered="1"/>
  <pageMargins left="0.25" right="0" top="0.61388888888888893" bottom="0.75" header="0" footer="0"/>
  <pageSetup paperSize="9"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7" manualBreakCount="7">
    <brk id="68" max="15" man="1"/>
    <brk id="110" max="15" man="1"/>
    <brk id="134" max="15" man="1"/>
    <brk id="155" max="15" man="1"/>
    <brk id="179" max="15" man="1"/>
    <brk id="229" max="15" man="1"/>
    <brk id="247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J44"/>
  <sheetViews>
    <sheetView view="pageBreakPreview" topLeftCell="A5" zoomScale="25" zoomScaleNormal="40" zoomScaleSheetLayoutView="25" zoomScalePageLayoutView="13" workbookViewId="0">
      <selection activeCell="C7" sqref="C7"/>
    </sheetView>
  </sheetViews>
  <sheetFormatPr defaultColWidth="9.26953125" defaultRowHeight="24"/>
  <cols>
    <col min="1" max="1" width="69.1796875" style="117" customWidth="1"/>
    <col min="2" max="2" width="139.54296875" style="118" customWidth="1"/>
    <col min="3" max="3" width="136.26953125" style="118" customWidth="1"/>
    <col min="4" max="16384" width="9.26953125" style="118"/>
  </cols>
  <sheetData>
    <row r="1" spans="1:10" s="108" customFormat="1" ht="134.25" customHeight="1">
      <c r="A1" s="106"/>
      <c r="B1" s="107"/>
      <c r="C1" s="107"/>
    </row>
    <row r="2" spans="1:10" s="108" customFormat="1" ht="37.5" customHeight="1">
      <c r="A2" s="107" t="str">
        <f>'1. CUTTING '!B6</f>
        <v xml:space="preserve">JOB NUMBER:  </v>
      </c>
      <c r="B2" s="107" t="str">
        <f>'1. CUTTING .'!D6</f>
        <v xml:space="preserve"> B11  SS25  S2797</v>
      </c>
      <c r="C2" s="107"/>
    </row>
    <row r="3" spans="1:10" s="108" customFormat="1" ht="37.5" customHeight="1">
      <c r="A3" s="109" t="str">
        <f>'1. CUTTING '!B7</f>
        <v xml:space="preserve">STYLE NUMBER: </v>
      </c>
      <c r="B3" s="107" t="str">
        <f>'1. CUTTING .'!D7</f>
        <v>FR_STS01</v>
      </c>
      <c r="C3" s="107"/>
    </row>
    <row r="4" spans="1:10" s="108" customFormat="1" ht="37.5" customHeight="1">
      <c r="A4" s="109" t="str">
        <f>'1. CUTTING '!B8</f>
        <v xml:space="preserve">STYLE NAME : </v>
      </c>
      <c r="B4" s="107">
        <f>+'1. CUTTING .'!D8</f>
        <v>0</v>
      </c>
      <c r="C4" s="107"/>
    </row>
    <row r="5" spans="1:10" s="108" customFormat="1" ht="76.150000000000006" customHeight="1">
      <c r="A5" s="110"/>
      <c r="B5" s="196" t="str">
        <f>'1. CUTTING .'!$D$19</f>
        <v>BLACK</v>
      </c>
      <c r="C5" s="196" t="s">
        <v>38</v>
      </c>
    </row>
    <row r="6" spans="1:10" s="112" customFormat="1" ht="41.5">
      <c r="A6" s="111" t="s">
        <v>32</v>
      </c>
      <c r="B6" s="149" t="str">
        <f t="shared" ref="B6:C6" si="0">B5</f>
        <v>BLACK</v>
      </c>
      <c r="C6" s="149" t="str">
        <f t="shared" si="0"/>
        <v>WHITE</v>
      </c>
    </row>
    <row r="7" spans="1:10" s="112" customFormat="1" ht="167.5" customHeight="1">
      <c r="A7" s="113" t="s">
        <v>33</v>
      </c>
      <c r="B7" s="149" t="str">
        <f>'1. CUTTING .'!L11</f>
        <v>HEAVY JERSEY SOLID 100% COTTON CM 20'S/2 WITH ENZYME CUT, 300-310GSM</v>
      </c>
      <c r="C7" s="149" t="str">
        <f>+B7</f>
        <v>HEAVY JERSEY SOLID 100% COTTON CM 20'S/2 WITH ENZYME CUT, 300-310GSM</v>
      </c>
    </row>
    <row r="8" spans="1:10" s="112" customFormat="1" ht="390.5" customHeight="1">
      <c r="A8" s="114" t="str">
        <f>'1. CUTTING .'!D34</f>
        <v>VẢI CHÍNH + VIỀN CỔ</v>
      </c>
      <c r="B8" s="185"/>
      <c r="C8" s="185"/>
      <c r="J8" s="115"/>
    </row>
    <row r="9" spans="1:10" s="112" customFormat="1" ht="124.5">
      <c r="A9" s="111" t="str">
        <f>'1. CUTTING .'!B35</f>
        <v>RIB 1X1 95% COTTON 5%SP, CM 20'S/1 + 140'D, 400GSM</v>
      </c>
      <c r="B9" s="149" t="str">
        <f>'1. CUTTING .'!E35</f>
        <v>BLACK</v>
      </c>
      <c r="C9" s="149" t="str">
        <f>+C6</f>
        <v>WHITE</v>
      </c>
    </row>
    <row r="10" spans="1:10" s="112" customFormat="1" ht="391.5" customHeight="1">
      <c r="A10" s="114" t="str">
        <f>'1. CUTTING .'!D35</f>
        <v>BO CỔ</v>
      </c>
      <c r="B10" s="185"/>
      <c r="C10" s="185"/>
    </row>
    <row r="11" spans="1:10" s="112" customFormat="1" ht="44.25" customHeight="1">
      <c r="A11" s="111" t="str">
        <f>'1. CUTTING '!$B$114</f>
        <v>CHỈ 40/2</v>
      </c>
      <c r="B11" s="149" t="str">
        <f t="shared" ref="B11:C11" si="1">B5</f>
        <v>BLACK</v>
      </c>
      <c r="C11" s="149" t="str">
        <f t="shared" si="1"/>
        <v>WHITE</v>
      </c>
    </row>
    <row r="12" spans="1:10" s="112" customFormat="1" ht="158.5" customHeight="1">
      <c r="A12" s="114" t="s">
        <v>142</v>
      </c>
      <c r="B12" s="193"/>
      <c r="C12" s="193"/>
    </row>
    <row r="13" spans="1:10" s="112" customFormat="1" ht="41.5">
      <c r="A13" s="111" t="str">
        <f>'1. CUTTING .'!B43</f>
        <v>NHÃN CHÍNH</v>
      </c>
      <c r="B13" s="239" t="str">
        <f>'1. CUTTING .'!F43</f>
        <v>BLACK/WHITE</v>
      </c>
      <c r="C13" s="239" t="str">
        <f>+B13</f>
        <v>BLACK/WHITE</v>
      </c>
    </row>
    <row r="14" spans="1:10" s="112" customFormat="1" ht="409.15" customHeight="1">
      <c r="A14" s="116" t="s">
        <v>220</v>
      </c>
      <c r="B14" s="240"/>
      <c r="C14" s="240"/>
    </row>
    <row r="15" spans="1:10">
      <c r="B15" s="117"/>
      <c r="C15" s="117"/>
    </row>
    <row r="16" spans="1:10">
      <c r="B16" s="117"/>
      <c r="C16" s="117"/>
    </row>
    <row r="17" spans="2:3">
      <c r="B17" s="117"/>
      <c r="C17" s="117"/>
    </row>
    <row r="18" spans="2:3">
      <c r="B18" s="117"/>
      <c r="C18" s="117"/>
    </row>
    <row r="19" spans="2:3">
      <c r="B19" s="117"/>
      <c r="C19" s="117"/>
    </row>
    <row r="20" spans="2:3">
      <c r="B20" s="117"/>
      <c r="C20" s="117"/>
    </row>
    <row r="21" spans="2:3">
      <c r="B21" s="117"/>
      <c r="C21" s="117"/>
    </row>
    <row r="22" spans="2:3">
      <c r="B22" s="117"/>
      <c r="C22" s="117"/>
    </row>
    <row r="23" spans="2:3">
      <c r="B23" s="117"/>
      <c r="C23" s="117"/>
    </row>
    <row r="24" spans="2:3">
      <c r="B24" s="117"/>
      <c r="C24" s="117"/>
    </row>
    <row r="25" spans="2:3">
      <c r="B25" s="117"/>
      <c r="C25" s="117"/>
    </row>
    <row r="26" spans="2:3">
      <c r="B26" s="117"/>
      <c r="C26" s="117"/>
    </row>
    <row r="27" spans="2:3">
      <c r="B27" s="117"/>
      <c r="C27" s="117"/>
    </row>
    <row r="28" spans="2:3">
      <c r="B28" s="117"/>
      <c r="C28" s="117"/>
    </row>
    <row r="29" spans="2:3">
      <c r="B29" s="117"/>
      <c r="C29" s="117"/>
    </row>
    <row r="30" spans="2:3">
      <c r="B30" s="117"/>
      <c r="C30" s="117"/>
    </row>
    <row r="31" spans="2:3">
      <c r="B31" s="117"/>
      <c r="C31" s="117"/>
    </row>
    <row r="32" spans="2:3">
      <c r="B32" s="117"/>
      <c r="C32" s="117"/>
    </row>
    <row r="33" spans="2:3">
      <c r="B33" s="117"/>
      <c r="C33" s="117"/>
    </row>
    <row r="34" spans="2:3">
      <c r="B34" s="117"/>
      <c r="C34" s="117"/>
    </row>
    <row r="35" spans="2:3">
      <c r="B35" s="117"/>
      <c r="C35" s="117"/>
    </row>
    <row r="36" spans="2:3">
      <c r="B36" s="117"/>
      <c r="C36" s="117"/>
    </row>
    <row r="37" spans="2:3">
      <c r="B37" s="117"/>
      <c r="C37" s="117"/>
    </row>
    <row r="38" spans="2:3">
      <c r="B38" s="117"/>
      <c r="C38" s="117"/>
    </row>
    <row r="39" spans="2:3">
      <c r="B39" s="117"/>
      <c r="C39" s="117"/>
    </row>
    <row r="40" spans="2:3">
      <c r="B40" s="117"/>
      <c r="C40" s="117"/>
    </row>
    <row r="41" spans="2:3">
      <c r="B41" s="117"/>
      <c r="C41" s="117"/>
    </row>
    <row r="42" spans="2:3">
      <c r="B42" s="117"/>
      <c r="C42" s="117"/>
    </row>
    <row r="43" spans="2:3">
      <c r="B43" s="117"/>
      <c r="C43" s="117"/>
    </row>
    <row r="44" spans="2:3">
      <c r="B44" s="117"/>
      <c r="C44" s="117"/>
    </row>
  </sheetData>
  <printOptions horizontalCentered="1"/>
  <pageMargins left="0.25" right="0" top="0.60416666666666696" bottom="0.75" header="0" footer="0"/>
  <pageSetup paperSize="9" scale="28" fitToHeight="0" orientation="portrait" r:id="rId1"/>
  <headerFooter>
    <oddHeader>&amp;L&amp;G&amp;R&amp;"Muli,Bold"&amp;42[TRIMS CARD]</oddHeader>
    <oddFooter>&amp;L&amp;"Euclid Circular A SemiBold,Bold"&amp;28[UA]
&amp;G&amp;R&amp;G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11B22-9CC4-4735-9744-C3BC9616F690}">
  <sheetPr>
    <pageSetUpPr fitToPage="1"/>
  </sheetPr>
  <dimension ref="A1:O28"/>
  <sheetViews>
    <sheetView view="pageBreakPreview" zoomScale="70" zoomScaleNormal="55" zoomScaleSheetLayoutView="70" zoomScalePageLayoutView="55" workbookViewId="0">
      <selection activeCell="L5" sqref="L5:L21"/>
    </sheetView>
  </sheetViews>
  <sheetFormatPr defaultColWidth="7.7265625" defaultRowHeight="15.5"/>
  <cols>
    <col min="1" max="1" width="15.81640625" style="266" customWidth="1"/>
    <col min="2" max="2" width="23.81640625" style="297" customWidth="1"/>
    <col min="3" max="3" width="34.1796875" style="297" customWidth="1"/>
    <col min="4" max="4" width="12.453125" style="297" customWidth="1"/>
    <col min="5" max="5" width="36.26953125" style="297" customWidth="1"/>
    <col min="6" max="7" width="9.1796875" style="298" customWidth="1"/>
    <col min="8" max="14" width="9.7265625" style="265" customWidth="1"/>
    <col min="15" max="16384" width="7.7265625" style="266"/>
  </cols>
  <sheetData>
    <row r="1" spans="1:15" s="253" customFormat="1" ht="34.5" customHeight="1">
      <c r="A1" s="249" t="s">
        <v>235</v>
      </c>
      <c r="B1" s="250"/>
      <c r="C1" s="251" t="s">
        <v>236</v>
      </c>
      <c r="D1" s="252" t="s">
        <v>400</v>
      </c>
      <c r="E1" s="251"/>
      <c r="F1" s="252"/>
      <c r="G1" s="432"/>
      <c r="H1" s="433"/>
      <c r="I1" s="434"/>
      <c r="J1" s="435" t="s">
        <v>237</v>
      </c>
      <c r="K1" s="436"/>
      <c r="L1" s="437"/>
      <c r="M1" s="437"/>
      <c r="N1" s="437"/>
    </row>
    <row r="2" spans="1:15" s="253" customFormat="1" ht="33" customHeight="1">
      <c r="A2" s="254"/>
      <c r="B2" s="255"/>
      <c r="C2" s="251" t="s">
        <v>238</v>
      </c>
      <c r="D2" s="256" t="s">
        <v>239</v>
      </c>
      <c r="E2" s="251"/>
      <c r="F2" s="257"/>
      <c r="G2" s="426"/>
      <c r="H2" s="427"/>
      <c r="I2" s="428"/>
      <c r="J2" s="438" t="s">
        <v>240</v>
      </c>
      <c r="K2" s="439"/>
      <c r="L2" s="440"/>
      <c r="M2" s="440"/>
      <c r="N2" s="440"/>
    </row>
    <row r="3" spans="1:15" s="253" customFormat="1" ht="36.75" customHeight="1">
      <c r="A3" s="258"/>
      <c r="B3" s="259"/>
      <c r="C3" s="251" t="s">
        <v>241</v>
      </c>
      <c r="D3" s="259"/>
      <c r="E3" s="251"/>
      <c r="F3" s="255"/>
      <c r="G3" s="426"/>
      <c r="H3" s="427"/>
      <c r="I3" s="428"/>
      <c r="J3" s="429" t="s">
        <v>242</v>
      </c>
      <c r="K3" s="430"/>
      <c r="L3" s="431"/>
      <c r="M3" s="431"/>
      <c r="N3" s="431"/>
    </row>
    <row r="4" spans="1:15" ht="14.15" customHeight="1">
      <c r="A4" s="260"/>
      <c r="B4" s="261"/>
      <c r="C4" s="261"/>
      <c r="D4" s="261"/>
      <c r="E4" s="262"/>
      <c r="F4" s="263"/>
      <c r="G4" s="263"/>
      <c r="H4" s="264"/>
      <c r="I4" s="264"/>
      <c r="J4" s="264"/>
      <c r="K4" s="264"/>
    </row>
    <row r="5" spans="1:15" s="269" customFormat="1" ht="74.25" customHeight="1">
      <c r="A5" s="267" t="s">
        <v>243</v>
      </c>
      <c r="B5" s="267" t="s">
        <v>244</v>
      </c>
      <c r="C5" s="267" t="s">
        <v>245</v>
      </c>
      <c r="D5" s="267" t="s">
        <v>246</v>
      </c>
      <c r="E5" s="267" t="s">
        <v>247</v>
      </c>
      <c r="F5" s="267" t="s">
        <v>248</v>
      </c>
      <c r="G5" s="267" t="s">
        <v>249</v>
      </c>
      <c r="H5" s="267" t="s">
        <v>65</v>
      </c>
      <c r="I5" s="268" t="s">
        <v>58</v>
      </c>
      <c r="J5" s="268" t="s">
        <v>10</v>
      </c>
      <c r="K5" s="302" t="s">
        <v>55</v>
      </c>
      <c r="L5" s="301" t="s">
        <v>56</v>
      </c>
      <c r="M5" s="268" t="s">
        <v>147</v>
      </c>
      <c r="N5" s="268" t="s">
        <v>144</v>
      </c>
    </row>
    <row r="6" spans="1:15" ht="30.75" customHeight="1">
      <c r="A6" s="270" t="s">
        <v>250</v>
      </c>
      <c r="B6" s="271" t="s">
        <v>251</v>
      </c>
      <c r="C6" s="272" t="s">
        <v>252</v>
      </c>
      <c r="D6" s="271" t="s">
        <v>253</v>
      </c>
      <c r="E6" s="272" t="s">
        <v>254</v>
      </c>
      <c r="F6" s="273" t="s">
        <v>255</v>
      </c>
      <c r="G6" s="273" t="s">
        <v>255</v>
      </c>
      <c r="H6" s="274" t="s">
        <v>256</v>
      </c>
      <c r="I6" s="275" t="s">
        <v>256</v>
      </c>
      <c r="J6" s="275" t="s">
        <v>256</v>
      </c>
      <c r="K6" s="303" t="s">
        <v>256</v>
      </c>
      <c r="L6" s="311" t="s">
        <v>256</v>
      </c>
      <c r="M6" s="275" t="s">
        <v>256</v>
      </c>
      <c r="N6" s="275" t="s">
        <v>256</v>
      </c>
      <c r="O6" s="276"/>
    </row>
    <row r="7" spans="1:15" ht="30.75" customHeight="1">
      <c r="A7" s="270" t="s">
        <v>257</v>
      </c>
      <c r="B7" s="271" t="s">
        <v>258</v>
      </c>
      <c r="C7" s="272" t="s">
        <v>259</v>
      </c>
      <c r="D7" s="271"/>
      <c r="E7" s="272" t="s">
        <v>92</v>
      </c>
      <c r="F7" s="273" t="s">
        <v>260</v>
      </c>
      <c r="G7" s="273" t="s">
        <v>260</v>
      </c>
      <c r="H7" s="274" t="s">
        <v>261</v>
      </c>
      <c r="I7" s="275" t="s">
        <v>262</v>
      </c>
      <c r="J7" s="275" t="s">
        <v>262</v>
      </c>
      <c r="K7" s="303">
        <v>3.1</v>
      </c>
      <c r="L7" s="311" t="s">
        <v>263</v>
      </c>
      <c r="M7" s="275" t="s">
        <v>264</v>
      </c>
      <c r="N7" s="275" t="s">
        <v>265</v>
      </c>
    </row>
    <row r="8" spans="1:15" ht="30.75" customHeight="1">
      <c r="A8" s="270" t="s">
        <v>266</v>
      </c>
      <c r="B8" s="271" t="s">
        <v>267</v>
      </c>
      <c r="C8" s="272" t="s">
        <v>268</v>
      </c>
      <c r="D8" s="271"/>
      <c r="E8" s="272" t="s">
        <v>269</v>
      </c>
      <c r="F8" s="273" t="s">
        <v>270</v>
      </c>
      <c r="G8" s="273" t="s">
        <v>270</v>
      </c>
      <c r="H8" s="274" t="s">
        <v>271</v>
      </c>
      <c r="I8" s="275" t="s">
        <v>272</v>
      </c>
      <c r="J8" s="275" t="s">
        <v>272</v>
      </c>
      <c r="K8" s="303" t="s">
        <v>273</v>
      </c>
      <c r="L8" s="311" t="s">
        <v>274</v>
      </c>
      <c r="M8" s="275">
        <v>21.7</v>
      </c>
      <c r="N8" s="275" t="s">
        <v>275</v>
      </c>
    </row>
    <row r="9" spans="1:15" ht="30.75" customHeight="1">
      <c r="A9" s="270" t="s">
        <v>276</v>
      </c>
      <c r="B9" s="271" t="s">
        <v>277</v>
      </c>
      <c r="C9" s="272" t="s">
        <v>278</v>
      </c>
      <c r="D9" s="271"/>
      <c r="E9" s="272" t="s">
        <v>94</v>
      </c>
      <c r="F9" s="273" t="s">
        <v>279</v>
      </c>
      <c r="G9" s="273" t="s">
        <v>279</v>
      </c>
      <c r="H9" s="274" t="s">
        <v>280</v>
      </c>
      <c r="I9" s="275" t="s">
        <v>281</v>
      </c>
      <c r="J9" s="275" t="s">
        <v>282</v>
      </c>
      <c r="K9" s="303" t="s">
        <v>283</v>
      </c>
      <c r="L9" s="311" t="s">
        <v>284</v>
      </c>
      <c r="M9" s="275" t="s">
        <v>285</v>
      </c>
      <c r="N9" s="275" t="s">
        <v>286</v>
      </c>
    </row>
    <row r="10" spans="1:15" ht="30.75" customHeight="1">
      <c r="A10" s="270" t="s">
        <v>287</v>
      </c>
      <c r="B10" s="271" t="s">
        <v>288</v>
      </c>
      <c r="C10" s="272" t="s">
        <v>289</v>
      </c>
      <c r="D10" s="271"/>
      <c r="E10" s="272" t="s">
        <v>290</v>
      </c>
      <c r="F10" s="273" t="s">
        <v>270</v>
      </c>
      <c r="G10" s="273" t="s">
        <v>270</v>
      </c>
      <c r="H10" s="274" t="s">
        <v>291</v>
      </c>
      <c r="I10" s="275" t="s">
        <v>292</v>
      </c>
      <c r="J10" s="275" t="s">
        <v>292</v>
      </c>
      <c r="K10" s="303" t="s">
        <v>293</v>
      </c>
      <c r="L10" s="311" t="s">
        <v>294</v>
      </c>
      <c r="M10" s="275" t="s">
        <v>295</v>
      </c>
      <c r="N10" s="275" t="s">
        <v>296</v>
      </c>
    </row>
    <row r="11" spans="1:15" ht="30.75" customHeight="1">
      <c r="A11" s="270" t="s">
        <v>297</v>
      </c>
      <c r="B11" s="271" t="s">
        <v>298</v>
      </c>
      <c r="C11" s="272" t="s">
        <v>299</v>
      </c>
      <c r="D11" s="271"/>
      <c r="E11" s="272" t="s">
        <v>300</v>
      </c>
      <c r="F11" s="273" t="s">
        <v>279</v>
      </c>
      <c r="G11" s="273" t="s">
        <v>279</v>
      </c>
      <c r="H11" s="274" t="s">
        <v>301</v>
      </c>
      <c r="I11" s="275" t="s">
        <v>302</v>
      </c>
      <c r="J11" s="275" t="s">
        <v>303</v>
      </c>
      <c r="K11" s="303" t="s">
        <v>304</v>
      </c>
      <c r="L11" s="311" t="s">
        <v>305</v>
      </c>
      <c r="M11" s="275" t="s">
        <v>306</v>
      </c>
      <c r="N11" s="275" t="s">
        <v>307</v>
      </c>
    </row>
    <row r="12" spans="1:15" ht="30.75" customHeight="1">
      <c r="A12" s="270" t="s">
        <v>308</v>
      </c>
      <c r="B12" s="271" t="s">
        <v>309</v>
      </c>
      <c r="C12" s="272" t="s">
        <v>310</v>
      </c>
      <c r="D12" s="271" t="s">
        <v>253</v>
      </c>
      <c r="E12" s="272" t="s">
        <v>311</v>
      </c>
      <c r="F12" s="273" t="s">
        <v>279</v>
      </c>
      <c r="G12" s="273" t="s">
        <v>279</v>
      </c>
      <c r="H12" s="274" t="s">
        <v>312</v>
      </c>
      <c r="I12" s="275" t="s">
        <v>313</v>
      </c>
      <c r="J12" s="275" t="s">
        <v>314</v>
      </c>
      <c r="K12" s="303" t="s">
        <v>315</v>
      </c>
      <c r="L12" s="311" t="s">
        <v>316</v>
      </c>
      <c r="M12" s="275" t="s">
        <v>317</v>
      </c>
      <c r="N12" s="275" t="s">
        <v>318</v>
      </c>
    </row>
    <row r="13" spans="1:15" ht="30.75" customHeight="1">
      <c r="A13" s="270" t="s">
        <v>319</v>
      </c>
      <c r="B13" s="271" t="s">
        <v>320</v>
      </c>
      <c r="C13" s="272" t="s">
        <v>321</v>
      </c>
      <c r="D13" s="271" t="s">
        <v>253</v>
      </c>
      <c r="E13" s="272" t="s">
        <v>322</v>
      </c>
      <c r="F13" s="273" t="s">
        <v>279</v>
      </c>
      <c r="G13" s="273" t="s">
        <v>279</v>
      </c>
      <c r="H13" s="274" t="s">
        <v>312</v>
      </c>
      <c r="I13" s="277" t="s">
        <v>313</v>
      </c>
      <c r="J13" s="277" t="s">
        <v>314</v>
      </c>
      <c r="K13" s="303" t="s">
        <v>315</v>
      </c>
      <c r="L13" s="312" t="s">
        <v>316</v>
      </c>
      <c r="M13" s="277" t="s">
        <v>317</v>
      </c>
      <c r="N13" s="275" t="s">
        <v>318</v>
      </c>
    </row>
    <row r="14" spans="1:15" ht="30.75" customHeight="1">
      <c r="A14" s="270" t="s">
        <v>323</v>
      </c>
      <c r="B14" s="271" t="s">
        <v>324</v>
      </c>
      <c r="C14" s="272" t="s">
        <v>325</v>
      </c>
      <c r="D14" s="271" t="s">
        <v>253</v>
      </c>
      <c r="E14" s="272" t="s">
        <v>326</v>
      </c>
      <c r="F14" s="273" t="s">
        <v>279</v>
      </c>
      <c r="G14" s="273" t="s">
        <v>279</v>
      </c>
      <c r="H14" s="278" t="s">
        <v>327</v>
      </c>
      <c r="I14" s="279" t="s">
        <v>328</v>
      </c>
      <c r="J14" s="279" t="s">
        <v>317</v>
      </c>
      <c r="K14" s="303" t="s">
        <v>329</v>
      </c>
      <c r="L14" s="311" t="s">
        <v>330</v>
      </c>
      <c r="M14" s="279" t="s">
        <v>331</v>
      </c>
      <c r="N14" s="279" t="s">
        <v>332</v>
      </c>
    </row>
    <row r="15" spans="1:15" ht="30.75" customHeight="1">
      <c r="A15" s="270" t="s">
        <v>333</v>
      </c>
      <c r="B15" s="271" t="s">
        <v>334</v>
      </c>
      <c r="C15" s="272" t="s">
        <v>335</v>
      </c>
      <c r="D15" s="271"/>
      <c r="E15" s="272" t="s">
        <v>336</v>
      </c>
      <c r="F15" s="273" t="s">
        <v>279</v>
      </c>
      <c r="G15" s="273" t="s">
        <v>279</v>
      </c>
      <c r="H15" s="278" t="s">
        <v>337</v>
      </c>
      <c r="I15" s="279" t="s">
        <v>338</v>
      </c>
      <c r="J15" s="279" t="s">
        <v>312</v>
      </c>
      <c r="K15" s="303" t="s">
        <v>339</v>
      </c>
      <c r="L15" s="311" t="s">
        <v>340</v>
      </c>
      <c r="M15" s="279" t="s">
        <v>341</v>
      </c>
      <c r="N15" s="279" t="s">
        <v>342</v>
      </c>
    </row>
    <row r="16" spans="1:15" ht="30.75" customHeight="1">
      <c r="A16" s="270" t="s">
        <v>343</v>
      </c>
      <c r="B16" s="271" t="s">
        <v>344</v>
      </c>
      <c r="C16" s="272" t="s">
        <v>310</v>
      </c>
      <c r="D16" s="271"/>
      <c r="E16" s="272" t="s">
        <v>345</v>
      </c>
      <c r="F16" s="273" t="s">
        <v>270</v>
      </c>
      <c r="G16" s="273" t="s">
        <v>270</v>
      </c>
      <c r="H16" s="274" t="s">
        <v>346</v>
      </c>
      <c r="I16" s="275" t="s">
        <v>347</v>
      </c>
      <c r="J16" s="275" t="s">
        <v>348</v>
      </c>
      <c r="K16" s="303" t="s">
        <v>349</v>
      </c>
      <c r="L16" s="311" t="s">
        <v>350</v>
      </c>
      <c r="M16" s="275" t="s">
        <v>351</v>
      </c>
      <c r="N16" s="275" t="s">
        <v>352</v>
      </c>
    </row>
    <row r="17" spans="1:14" ht="30.75" customHeight="1">
      <c r="A17" s="270" t="s">
        <v>353</v>
      </c>
      <c r="B17" s="271" t="s">
        <v>354</v>
      </c>
      <c r="C17" s="272" t="s">
        <v>355</v>
      </c>
      <c r="D17" s="271"/>
      <c r="E17" s="272" t="s">
        <v>98</v>
      </c>
      <c r="F17" s="273" t="s">
        <v>270</v>
      </c>
      <c r="G17" s="273" t="s">
        <v>270</v>
      </c>
      <c r="H17" s="274" t="s">
        <v>356</v>
      </c>
      <c r="I17" s="275" t="s">
        <v>272</v>
      </c>
      <c r="J17" s="275" t="s">
        <v>357</v>
      </c>
      <c r="K17" s="303" t="s">
        <v>358</v>
      </c>
      <c r="L17" s="311" t="s">
        <v>359</v>
      </c>
      <c r="M17" s="275" t="s">
        <v>360</v>
      </c>
      <c r="N17" s="275" t="s">
        <v>361</v>
      </c>
    </row>
    <row r="18" spans="1:14" ht="30.75" customHeight="1">
      <c r="A18" s="270" t="s">
        <v>362</v>
      </c>
      <c r="B18" s="271" t="s">
        <v>288</v>
      </c>
      <c r="C18" s="272" t="s">
        <v>363</v>
      </c>
      <c r="D18" s="271"/>
      <c r="E18" s="272" t="s">
        <v>364</v>
      </c>
      <c r="F18" s="273" t="s">
        <v>270</v>
      </c>
      <c r="G18" s="273" t="s">
        <v>270</v>
      </c>
      <c r="H18" s="278" t="s">
        <v>291</v>
      </c>
      <c r="I18" s="279" t="s">
        <v>292</v>
      </c>
      <c r="J18" s="279" t="s">
        <v>292</v>
      </c>
      <c r="K18" s="303" t="s">
        <v>293</v>
      </c>
      <c r="L18" s="311" t="s">
        <v>294</v>
      </c>
      <c r="M18" s="279" t="s">
        <v>295</v>
      </c>
      <c r="N18" s="279" t="s">
        <v>296</v>
      </c>
    </row>
    <row r="19" spans="1:14" ht="30.75" customHeight="1">
      <c r="A19" s="270" t="s">
        <v>365</v>
      </c>
      <c r="B19" s="280" t="s">
        <v>366</v>
      </c>
      <c r="C19" s="272" t="s">
        <v>299</v>
      </c>
      <c r="D19" s="280"/>
      <c r="E19" s="281" t="s">
        <v>367</v>
      </c>
      <c r="F19" s="278" t="s">
        <v>279</v>
      </c>
      <c r="G19" s="278" t="s">
        <v>279</v>
      </c>
      <c r="H19" s="278" t="s">
        <v>368</v>
      </c>
      <c r="I19" s="279" t="s">
        <v>369</v>
      </c>
      <c r="J19" s="279" t="s">
        <v>312</v>
      </c>
      <c r="K19" s="303" t="s">
        <v>370</v>
      </c>
      <c r="L19" s="311" t="s">
        <v>371</v>
      </c>
      <c r="M19" s="279" t="s">
        <v>372</v>
      </c>
      <c r="N19" s="279" t="s">
        <v>373</v>
      </c>
    </row>
    <row r="20" spans="1:14" ht="30.75" customHeight="1">
      <c r="A20" s="270" t="s">
        <v>374</v>
      </c>
      <c r="B20" s="280" t="s">
        <v>375</v>
      </c>
      <c r="C20" s="282" t="s">
        <v>259</v>
      </c>
      <c r="D20" s="280"/>
      <c r="E20" s="281" t="s">
        <v>90</v>
      </c>
      <c r="F20" s="278" t="s">
        <v>260</v>
      </c>
      <c r="G20" s="278" t="s">
        <v>260</v>
      </c>
      <c r="H20" s="278" t="s">
        <v>376</v>
      </c>
      <c r="I20" s="279" t="s">
        <v>377</v>
      </c>
      <c r="J20" s="279" t="s">
        <v>377</v>
      </c>
      <c r="K20" s="303" t="s">
        <v>378</v>
      </c>
      <c r="L20" s="311" t="s">
        <v>379</v>
      </c>
      <c r="M20" s="279" t="s">
        <v>380</v>
      </c>
      <c r="N20" s="279" t="s">
        <v>381</v>
      </c>
    </row>
    <row r="21" spans="1:14" ht="30.75" customHeight="1">
      <c r="A21" s="270" t="s">
        <v>382</v>
      </c>
      <c r="B21" s="280" t="s">
        <v>383</v>
      </c>
      <c r="C21" s="272" t="s">
        <v>384</v>
      </c>
      <c r="D21" s="280" t="s">
        <v>253</v>
      </c>
      <c r="E21" s="281" t="s">
        <v>385</v>
      </c>
      <c r="F21" s="278" t="s">
        <v>386</v>
      </c>
      <c r="G21" s="278" t="s">
        <v>387</v>
      </c>
      <c r="H21" s="278" t="s">
        <v>388</v>
      </c>
      <c r="I21" s="279" t="s">
        <v>389</v>
      </c>
      <c r="J21" s="279" t="s">
        <v>389</v>
      </c>
      <c r="K21" s="303" t="s">
        <v>389</v>
      </c>
      <c r="L21" s="311" t="s">
        <v>389</v>
      </c>
      <c r="M21" s="279" t="s">
        <v>389</v>
      </c>
      <c r="N21" s="279" t="s">
        <v>389</v>
      </c>
    </row>
    <row r="22" spans="1:14" ht="52.5" customHeight="1">
      <c r="A22" s="283"/>
      <c r="B22" s="280" t="s">
        <v>393</v>
      </c>
      <c r="C22" s="299" t="s">
        <v>391</v>
      </c>
      <c r="D22" s="280"/>
      <c r="E22" s="299" t="s">
        <v>396</v>
      </c>
      <c r="F22" s="285"/>
      <c r="G22" s="285"/>
      <c r="H22" s="285"/>
      <c r="I22" s="286"/>
      <c r="J22" s="286"/>
      <c r="K22" s="287" t="s">
        <v>392</v>
      </c>
      <c r="L22" s="286"/>
      <c r="M22" s="286"/>
      <c r="N22" s="286"/>
    </row>
    <row r="23" spans="1:14" ht="51.75" customHeight="1">
      <c r="A23" s="283"/>
      <c r="B23" s="288" t="s">
        <v>394</v>
      </c>
      <c r="C23" s="299" t="s">
        <v>395</v>
      </c>
      <c r="D23" s="288"/>
      <c r="E23" s="299" t="s">
        <v>397</v>
      </c>
      <c r="F23" s="285"/>
      <c r="G23" s="285"/>
      <c r="H23" s="285"/>
      <c r="I23" s="286"/>
      <c r="J23" s="286"/>
      <c r="K23" s="287" t="s">
        <v>392</v>
      </c>
      <c r="L23" s="286"/>
      <c r="M23" s="286"/>
      <c r="N23" s="286"/>
    </row>
    <row r="24" spans="1:14" ht="21.75" customHeight="1">
      <c r="A24" s="283"/>
      <c r="B24" s="288"/>
      <c r="C24" s="288"/>
      <c r="D24" s="288"/>
      <c r="E24" s="284"/>
      <c r="F24" s="289"/>
      <c r="G24" s="289"/>
      <c r="H24" s="289"/>
      <c r="I24" s="290"/>
      <c r="J24" s="290"/>
      <c r="K24" s="287"/>
      <c r="L24" s="290"/>
      <c r="M24" s="290"/>
      <c r="N24" s="290"/>
    </row>
    <row r="25" spans="1:14" ht="21.75" customHeight="1">
      <c r="A25" s="283"/>
      <c r="B25" s="280"/>
      <c r="C25" s="291"/>
      <c r="D25" s="291"/>
      <c r="E25" s="292"/>
      <c r="F25" s="293"/>
      <c r="G25" s="293"/>
      <c r="H25" s="289"/>
      <c r="I25" s="290"/>
      <c r="J25" s="290"/>
      <c r="K25" s="287"/>
      <c r="L25" s="290"/>
      <c r="M25" s="290"/>
      <c r="N25" s="290"/>
    </row>
    <row r="26" spans="1:14" ht="21.75" customHeight="1">
      <c r="A26" s="283"/>
      <c r="B26" s="288"/>
      <c r="C26" s="288"/>
      <c r="D26" s="288"/>
      <c r="E26" s="284"/>
      <c r="F26" s="293"/>
      <c r="G26" s="293"/>
      <c r="H26" s="289"/>
      <c r="I26" s="290"/>
      <c r="J26" s="290"/>
      <c r="K26" s="287"/>
      <c r="L26" s="290"/>
      <c r="M26" s="290"/>
      <c r="N26" s="290"/>
    </row>
    <row r="27" spans="1:14" ht="21.75" customHeight="1">
      <c r="A27" s="283"/>
      <c r="B27" s="288"/>
      <c r="C27" s="288"/>
      <c r="D27" s="288"/>
      <c r="E27" s="284"/>
      <c r="F27" s="293"/>
      <c r="G27" s="293"/>
      <c r="H27" s="289"/>
      <c r="I27" s="290"/>
      <c r="J27" s="290"/>
      <c r="K27" s="287"/>
      <c r="L27" s="290"/>
      <c r="M27" s="290"/>
      <c r="N27" s="290"/>
    </row>
    <row r="28" spans="1:14">
      <c r="A28" s="283"/>
      <c r="B28" s="288"/>
      <c r="C28" s="288"/>
      <c r="D28" s="288"/>
      <c r="E28" s="294"/>
      <c r="F28" s="295"/>
      <c r="G28" s="295"/>
      <c r="H28" s="296"/>
      <c r="I28" s="296"/>
      <c r="J28" s="296"/>
      <c r="K28" s="296"/>
      <c r="L28" s="296"/>
      <c r="M28" s="296"/>
      <c r="N28" s="296"/>
    </row>
  </sheetData>
  <mergeCells count="9">
    <mergeCell ref="G3:I3"/>
    <mergeCell ref="J3:K3"/>
    <mergeCell ref="L3:N3"/>
    <mergeCell ref="G1:I1"/>
    <mergeCell ref="J1:K1"/>
    <mergeCell ref="L1:N1"/>
    <mergeCell ref="G2:I2"/>
    <mergeCell ref="J2:K2"/>
    <mergeCell ref="L2:N2"/>
  </mergeCells>
  <printOptions horizontalCentered="1"/>
  <pageMargins left="0.2" right="0.22" top="0.75" bottom="0.72" header="0.3" footer="0.3"/>
  <pageSetup paperSize="9" scale="68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2:J19"/>
  <sheetViews>
    <sheetView workbookViewId="0">
      <selection activeCell="G10" sqref="G10"/>
    </sheetView>
  </sheetViews>
  <sheetFormatPr defaultColWidth="8.7265625" defaultRowHeight="16.5"/>
  <cols>
    <col min="1" max="1" width="26.453125" style="167" customWidth="1"/>
    <col min="2" max="16384" width="8.7265625" style="167"/>
  </cols>
  <sheetData>
    <row r="12" spans="1:10" s="168" customFormat="1" ht="34.15" customHeight="1">
      <c r="A12" s="441" t="s">
        <v>149</v>
      </c>
      <c r="B12" s="441"/>
      <c r="C12" s="441"/>
      <c r="D12" s="441"/>
      <c r="E12" s="441"/>
      <c r="F12" s="441"/>
      <c r="G12" s="441"/>
      <c r="H12" s="441"/>
      <c r="I12" s="441"/>
      <c r="J12" s="441"/>
    </row>
    <row r="13" spans="1:10" ht="24" customHeight="1">
      <c r="A13" s="166" t="s">
        <v>59</v>
      </c>
      <c r="B13" s="166" t="s">
        <v>143</v>
      </c>
      <c r="C13" s="166" t="s">
        <v>148</v>
      </c>
      <c r="D13" s="166" t="s">
        <v>65</v>
      </c>
      <c r="E13" s="166" t="s">
        <v>58</v>
      </c>
      <c r="F13" s="164" t="s">
        <v>10</v>
      </c>
      <c r="G13" s="166" t="s">
        <v>55</v>
      </c>
      <c r="H13" s="166" t="s">
        <v>56</v>
      </c>
      <c r="I13" s="166" t="s">
        <v>147</v>
      </c>
      <c r="J13" s="166" t="s">
        <v>144</v>
      </c>
    </row>
    <row r="14" spans="1:10" s="171" customFormat="1" ht="44.65" customHeight="1">
      <c r="A14" s="169" t="s">
        <v>146</v>
      </c>
      <c r="B14" s="165">
        <f>$D$14-0.5</f>
        <v>17.5</v>
      </c>
      <c r="C14" s="170">
        <f>$D$14-0.5</f>
        <v>17.5</v>
      </c>
      <c r="D14" s="170">
        <f>$F$14-0.5</f>
        <v>18</v>
      </c>
      <c r="E14" s="170">
        <f>$F$14-0.5</f>
        <v>18</v>
      </c>
      <c r="F14" s="170">
        <v>18.5</v>
      </c>
      <c r="G14" s="170">
        <v>18.5</v>
      </c>
      <c r="H14" s="170">
        <f>$G$14+0.5</f>
        <v>19</v>
      </c>
      <c r="I14" s="170">
        <f>$G$14+0.5</f>
        <v>19</v>
      </c>
      <c r="J14" s="170">
        <f>$G$14+0.5</f>
        <v>19</v>
      </c>
    </row>
    <row r="15" spans="1:10" s="171" customFormat="1" ht="44.65" customHeight="1">
      <c r="A15" s="169" t="s">
        <v>145</v>
      </c>
      <c r="B15" s="165">
        <f>$D$15-0.3</f>
        <v>6.4</v>
      </c>
      <c r="C15" s="170">
        <f>$D$15-0.3</f>
        <v>6.4</v>
      </c>
      <c r="D15" s="170">
        <f>$F$15-0.3</f>
        <v>6.7</v>
      </c>
      <c r="E15" s="170">
        <f>$F$15-0.3</f>
        <v>6.7</v>
      </c>
      <c r="F15" s="170">
        <v>7</v>
      </c>
      <c r="G15" s="170">
        <v>7</v>
      </c>
      <c r="H15" s="170">
        <f>$G$15+0.3</f>
        <v>7.3</v>
      </c>
      <c r="I15" s="170">
        <f>$G$15+0.3</f>
        <v>7.3</v>
      </c>
      <c r="J15" s="170">
        <f>$G$15+0.3</f>
        <v>7.3</v>
      </c>
    </row>
    <row r="17" spans="1:10" s="168" customFormat="1" ht="34.15" customHeight="1">
      <c r="A17" s="441" t="s">
        <v>155</v>
      </c>
      <c r="B17" s="441"/>
      <c r="C17" s="441"/>
      <c r="D17" s="441"/>
      <c r="E17" s="441"/>
      <c r="F17" s="441"/>
      <c r="G17" s="441"/>
      <c r="H17" s="441"/>
      <c r="I17" s="441"/>
      <c r="J17" s="441"/>
    </row>
    <row r="18" spans="1:10" ht="24" customHeight="1">
      <c r="A18" s="166" t="s">
        <v>59</v>
      </c>
      <c r="B18" s="166" t="s">
        <v>143</v>
      </c>
      <c r="C18" s="166" t="s">
        <v>148</v>
      </c>
      <c r="D18" s="166" t="s">
        <v>65</v>
      </c>
      <c r="E18" s="166" t="s">
        <v>58</v>
      </c>
      <c r="F18" s="164" t="s">
        <v>10</v>
      </c>
      <c r="G18" s="166" t="s">
        <v>55</v>
      </c>
      <c r="H18" s="166" t="s">
        <v>56</v>
      </c>
      <c r="I18" s="166" t="s">
        <v>147</v>
      </c>
      <c r="J18" s="166" t="s">
        <v>144</v>
      </c>
    </row>
    <row r="19" spans="1:10" s="171" customFormat="1" ht="44.65" customHeight="1">
      <c r="A19" s="169" t="s">
        <v>156</v>
      </c>
      <c r="B19" s="165">
        <f>C19</f>
        <v>6</v>
      </c>
      <c r="C19" s="170">
        <f>D19-0.5</f>
        <v>6</v>
      </c>
      <c r="D19" s="170">
        <f>E19</f>
        <v>6.5</v>
      </c>
      <c r="E19" s="170">
        <f>F19-0.5</f>
        <v>6.5</v>
      </c>
      <c r="F19" s="170">
        <v>7</v>
      </c>
      <c r="G19" s="170">
        <v>7</v>
      </c>
      <c r="H19" s="170">
        <f>G19+0.5</f>
        <v>7.5</v>
      </c>
      <c r="I19" s="170">
        <f>H19</f>
        <v>7.5</v>
      </c>
      <c r="J19" s="170">
        <f>I19</f>
        <v>7.5</v>
      </c>
    </row>
  </sheetData>
  <mergeCells count="2">
    <mergeCell ref="A12:J12"/>
    <mergeCell ref="A17:J1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6.5"/>
  <cols>
    <col min="1" max="17" width="9.26953125" style="75"/>
    <col min="18" max="18" width="80.26953125" style="75" customWidth="1"/>
    <col min="19" max="16384" width="9.26953125" style="7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81" customFormat="1" ht="30.75" customHeight="1">
      <c r="A1" s="77"/>
      <c r="B1" s="78" t="s">
        <v>66</v>
      </c>
      <c r="C1" s="78" t="s">
        <v>53</v>
      </c>
      <c r="D1" s="442" t="s">
        <v>67</v>
      </c>
      <c r="E1" s="442"/>
      <c r="F1" s="442"/>
      <c r="G1" s="78"/>
      <c r="H1" s="78"/>
      <c r="I1" s="79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</row>
    <row r="2" spans="1:25" s="81" customFormat="1" ht="30.75" customHeight="1" thickBot="1">
      <c r="A2" s="82"/>
      <c r="B2" s="83" t="s">
        <v>68</v>
      </c>
      <c r="C2" s="83" t="s">
        <v>69</v>
      </c>
      <c r="D2" s="443" t="s">
        <v>70</v>
      </c>
      <c r="E2" s="443"/>
      <c r="F2" s="443"/>
      <c r="G2" s="443"/>
      <c r="H2" s="443"/>
      <c r="I2" s="444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</row>
    <row r="3" spans="1:25" s="89" customFormat="1" ht="20.25" customHeight="1">
      <c r="A3" s="84" t="s">
        <v>71</v>
      </c>
      <c r="B3" s="85" t="s">
        <v>72</v>
      </c>
      <c r="C3" s="85" t="s">
        <v>73</v>
      </c>
      <c r="D3" s="86" t="s">
        <v>58</v>
      </c>
      <c r="E3" s="86" t="s">
        <v>10</v>
      </c>
      <c r="F3" s="86" t="s">
        <v>55</v>
      </c>
      <c r="G3" s="86" t="s">
        <v>56</v>
      </c>
      <c r="H3" s="86" t="s">
        <v>57</v>
      </c>
      <c r="I3" s="87" t="s">
        <v>74</v>
      </c>
      <c r="J3" s="88"/>
      <c r="K3" s="88"/>
    </row>
    <row r="4" spans="1:25" s="95" customFormat="1" ht="27" customHeight="1">
      <c r="A4" s="90">
        <v>1</v>
      </c>
      <c r="B4" s="91" t="s">
        <v>75</v>
      </c>
      <c r="C4" s="91" t="s">
        <v>76</v>
      </c>
      <c r="D4" s="92">
        <v>68.5</v>
      </c>
      <c r="E4" s="92">
        <v>72.5</v>
      </c>
      <c r="F4" s="92">
        <v>74.5</v>
      </c>
      <c r="G4" s="92">
        <v>76.5</v>
      </c>
      <c r="H4" s="92">
        <v>78.5</v>
      </c>
      <c r="I4" s="93" t="s">
        <v>77</v>
      </c>
      <c r="J4" s="94"/>
      <c r="K4" s="94"/>
    </row>
    <row r="5" spans="1:25" s="95" customFormat="1" ht="27" customHeight="1">
      <c r="A5" s="90">
        <v>2</v>
      </c>
      <c r="B5" s="91" t="s">
        <v>78</v>
      </c>
      <c r="C5" s="91" t="s">
        <v>79</v>
      </c>
      <c r="D5" s="92">
        <v>66.5</v>
      </c>
      <c r="E5" s="92">
        <v>70.5</v>
      </c>
      <c r="F5" s="92">
        <v>72.5</v>
      </c>
      <c r="G5" s="92">
        <v>74.5</v>
      </c>
      <c r="H5" s="92">
        <v>76.5</v>
      </c>
      <c r="I5" s="93" t="s">
        <v>77</v>
      </c>
      <c r="J5" s="94"/>
      <c r="K5" s="94"/>
    </row>
    <row r="6" spans="1:25" s="95" customFormat="1" ht="27" customHeight="1">
      <c r="A6" s="90">
        <v>3</v>
      </c>
      <c r="B6" s="76" t="s">
        <v>80</v>
      </c>
      <c r="C6" s="76" t="s">
        <v>81</v>
      </c>
      <c r="D6" s="96">
        <v>51</v>
      </c>
      <c r="E6" s="96">
        <v>55</v>
      </c>
      <c r="F6" s="96">
        <v>57</v>
      </c>
      <c r="G6" s="96">
        <v>59</v>
      </c>
      <c r="H6" s="96">
        <v>61</v>
      </c>
      <c r="I6" s="97" t="s">
        <v>77</v>
      </c>
      <c r="J6" s="94"/>
      <c r="K6" s="94"/>
    </row>
    <row r="7" spans="1:25" s="95" customFormat="1" ht="27" customHeight="1">
      <c r="A7" s="90">
        <v>4</v>
      </c>
      <c r="B7" s="76" t="s">
        <v>82</v>
      </c>
      <c r="C7" s="76" t="s">
        <v>83</v>
      </c>
      <c r="D7" s="96">
        <v>51</v>
      </c>
      <c r="E7" s="96">
        <v>55</v>
      </c>
      <c r="F7" s="96">
        <v>57</v>
      </c>
      <c r="G7" s="96">
        <v>59</v>
      </c>
      <c r="H7" s="96">
        <v>61</v>
      </c>
      <c r="I7" s="98" t="s">
        <v>77</v>
      </c>
      <c r="J7" s="94"/>
      <c r="K7" s="94"/>
    </row>
    <row r="8" spans="1:25" s="95" customFormat="1" ht="27" customHeight="1">
      <c r="A8" s="90">
        <v>5</v>
      </c>
      <c r="B8" s="76" t="s">
        <v>84</v>
      </c>
      <c r="C8" s="76" t="s">
        <v>85</v>
      </c>
      <c r="D8" s="96">
        <v>22</v>
      </c>
      <c r="E8" s="96">
        <v>23</v>
      </c>
      <c r="F8" s="96">
        <v>23.5</v>
      </c>
      <c r="G8" s="96">
        <v>24</v>
      </c>
      <c r="H8" s="96">
        <v>24.5</v>
      </c>
      <c r="I8" s="98" t="s">
        <v>86</v>
      </c>
      <c r="J8" s="94"/>
      <c r="K8" s="94"/>
    </row>
    <row r="9" spans="1:25" s="95" customFormat="1" ht="27" customHeight="1">
      <c r="A9" s="90">
        <v>6</v>
      </c>
      <c r="B9" s="76" t="s">
        <v>87</v>
      </c>
      <c r="C9" s="76" t="s">
        <v>88</v>
      </c>
      <c r="D9" s="96">
        <v>18.5</v>
      </c>
      <c r="E9" s="96">
        <v>19.5</v>
      </c>
      <c r="F9" s="96">
        <v>20.5</v>
      </c>
      <c r="G9" s="96">
        <v>20.5</v>
      </c>
      <c r="H9" s="96">
        <v>21.5</v>
      </c>
      <c r="I9" s="99" t="s">
        <v>77</v>
      </c>
      <c r="J9" s="94"/>
      <c r="K9" s="94"/>
    </row>
    <row r="10" spans="1:25" s="95" customFormat="1" ht="27" customHeight="1">
      <c r="A10" s="90">
        <v>7</v>
      </c>
      <c r="B10" s="76" t="s">
        <v>89</v>
      </c>
      <c r="C10" s="76" t="s">
        <v>90</v>
      </c>
      <c r="D10" s="96">
        <v>8.5</v>
      </c>
      <c r="E10" s="96">
        <v>9</v>
      </c>
      <c r="F10" s="96">
        <v>9.5</v>
      </c>
      <c r="G10" s="96">
        <v>9.5</v>
      </c>
      <c r="H10" s="96">
        <v>10</v>
      </c>
      <c r="I10" s="98" t="s">
        <v>77</v>
      </c>
      <c r="J10" s="94"/>
      <c r="K10" s="94"/>
    </row>
    <row r="11" spans="1:25" s="95" customFormat="1" ht="27" customHeight="1">
      <c r="A11" s="90">
        <v>8</v>
      </c>
      <c r="B11" s="76" t="s">
        <v>91</v>
      </c>
      <c r="C11" s="76" t="s">
        <v>92</v>
      </c>
      <c r="D11" s="96">
        <v>2</v>
      </c>
      <c r="E11" s="96">
        <v>2</v>
      </c>
      <c r="F11" s="96">
        <v>2</v>
      </c>
      <c r="G11" s="96">
        <v>2</v>
      </c>
      <c r="H11" s="96">
        <v>2</v>
      </c>
      <c r="I11" s="98">
        <v>0</v>
      </c>
      <c r="J11" s="94"/>
      <c r="K11" s="94"/>
    </row>
    <row r="12" spans="1:25" s="95" customFormat="1" ht="27" customHeight="1">
      <c r="A12" s="90">
        <v>9</v>
      </c>
      <c r="B12" s="76" t="s">
        <v>93</v>
      </c>
      <c r="C12" s="76" t="s">
        <v>94</v>
      </c>
      <c r="D12" s="96">
        <v>46</v>
      </c>
      <c r="E12" s="96">
        <v>50</v>
      </c>
      <c r="F12" s="96">
        <v>52</v>
      </c>
      <c r="G12" s="96">
        <v>54</v>
      </c>
      <c r="H12" s="96">
        <v>56</v>
      </c>
      <c r="I12" s="98" t="s">
        <v>86</v>
      </c>
      <c r="J12" s="94"/>
      <c r="K12" s="94"/>
    </row>
    <row r="13" spans="1:25" s="95" customFormat="1" ht="27" customHeight="1">
      <c r="A13" s="90">
        <v>10</v>
      </c>
      <c r="B13" s="76" t="s">
        <v>95</v>
      </c>
      <c r="C13" s="76" t="s">
        <v>96</v>
      </c>
      <c r="D13" s="96">
        <v>22</v>
      </c>
      <c r="E13" s="96">
        <v>23</v>
      </c>
      <c r="F13" s="96">
        <v>24</v>
      </c>
      <c r="G13" s="96">
        <v>25</v>
      </c>
      <c r="H13" s="96">
        <v>26</v>
      </c>
      <c r="I13" s="98" t="s">
        <v>86</v>
      </c>
      <c r="J13" s="94"/>
      <c r="K13" s="94"/>
    </row>
    <row r="14" spans="1:25" s="95" customFormat="1" ht="27" customHeight="1">
      <c r="A14" s="90">
        <v>11</v>
      </c>
      <c r="B14" s="76" t="s">
        <v>97</v>
      </c>
      <c r="C14" s="76" t="s">
        <v>98</v>
      </c>
      <c r="D14" s="96">
        <v>19.5</v>
      </c>
      <c r="E14" s="96">
        <v>20</v>
      </c>
      <c r="F14" s="96">
        <v>20.5</v>
      </c>
      <c r="G14" s="96">
        <v>21</v>
      </c>
      <c r="H14" s="96">
        <v>21.5</v>
      </c>
      <c r="I14" s="99">
        <v>0</v>
      </c>
      <c r="J14" s="94"/>
      <c r="K14" s="94"/>
    </row>
    <row r="15" spans="1:25" s="95" customFormat="1" ht="27" customHeight="1">
      <c r="A15" s="90">
        <v>12</v>
      </c>
      <c r="B15" s="76" t="s">
        <v>99</v>
      </c>
      <c r="C15" s="76" t="s">
        <v>100</v>
      </c>
      <c r="D15" s="96">
        <v>2.5</v>
      </c>
      <c r="E15" s="96">
        <v>2.5</v>
      </c>
      <c r="F15" s="96">
        <v>2.5</v>
      </c>
      <c r="G15" s="96">
        <v>2.5</v>
      </c>
      <c r="H15" s="96">
        <v>2.5</v>
      </c>
      <c r="I15" s="99">
        <v>0</v>
      </c>
      <c r="J15" s="94"/>
      <c r="K15" s="94"/>
    </row>
    <row r="16" spans="1:25" s="95" customFormat="1" ht="27" customHeight="1">
      <c r="A16" s="90">
        <v>13</v>
      </c>
      <c r="B16" s="76" t="s">
        <v>101</v>
      </c>
      <c r="C16" s="76" t="s">
        <v>102</v>
      </c>
      <c r="D16" s="96">
        <v>2.5</v>
      </c>
      <c r="E16" s="96">
        <v>2.5</v>
      </c>
      <c r="F16" s="96">
        <v>2.5</v>
      </c>
      <c r="G16" s="96">
        <v>2.5</v>
      </c>
      <c r="H16" s="96">
        <v>2.5</v>
      </c>
      <c r="I16" s="99">
        <v>0</v>
      </c>
      <c r="J16" s="94"/>
      <c r="K16" s="94"/>
    </row>
    <row r="17" spans="1:11" s="95" customFormat="1" ht="27" customHeight="1" thickBot="1">
      <c r="A17" s="90">
        <v>14</v>
      </c>
      <c r="B17" s="100" t="s">
        <v>103</v>
      </c>
      <c r="C17" s="100" t="s">
        <v>104</v>
      </c>
      <c r="D17" s="101">
        <v>2.5</v>
      </c>
      <c r="E17" s="101">
        <v>2.5</v>
      </c>
      <c r="F17" s="101">
        <v>2.5</v>
      </c>
      <c r="G17" s="101">
        <v>2.5</v>
      </c>
      <c r="H17" s="101">
        <v>2.5</v>
      </c>
      <c r="I17" s="102">
        <v>0</v>
      </c>
      <c r="J17" s="94"/>
      <c r="K17" s="9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9AE834-BDE4-4E48-A46D-966756C92A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88B51E-171B-4905-B631-3EBD5A5A83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1. CUTTING .</vt:lpstr>
      <vt:lpstr>1. CUTTING </vt:lpstr>
      <vt:lpstr>2. TRIM </vt:lpstr>
      <vt:lpstr>SAMPLE #1</vt:lpstr>
      <vt:lpstr>1461-624727</vt:lpstr>
      <vt:lpstr>3. ĐỊNH VỊ HÌNH IN.THÊU</vt:lpstr>
      <vt:lpstr>4. THÔNG SỐ SẢN XUẤT</vt:lpstr>
      <vt:lpstr>'1. CUTTING '!Print_Area</vt:lpstr>
      <vt:lpstr>'1. CUTTING .'!Print_Area</vt:lpstr>
      <vt:lpstr>'2. TRIM '!Print_Area</vt:lpstr>
      <vt:lpstr>'SAMPLE #1'!Print_Area</vt:lpstr>
      <vt:lpstr>'1. CUTTING '!Print_Titles</vt:lpstr>
      <vt:lpstr>'1. CUTTING .'!Print_Titles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Oanh Phan Thi Kim</cp:lastModifiedBy>
  <cp:lastPrinted>2024-09-05T09:41:11Z</cp:lastPrinted>
  <dcterms:created xsi:type="dcterms:W3CDTF">2016-05-06T01:47:29Z</dcterms:created>
  <dcterms:modified xsi:type="dcterms:W3CDTF">2024-09-11T04:51:39Z</dcterms:modified>
</cp:coreProperties>
</file>