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ink/ink1.xml" ContentType="application/inkml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MSCHF/2-SS25/1-SAMPLE/2-STYLE-FILE/CUTITNG DOCKET/1ST PROTO/"/>
    </mc:Choice>
  </mc:AlternateContent>
  <xr:revisionPtr revIDLastSave="31" documentId="13_ncr:1_{9B0A68AA-B80F-4BB2-8F37-3CEF9458CF01}" xr6:coauthVersionLast="47" xr6:coauthVersionMax="47" xr10:uidLastSave="{D6E2565E-5073-448B-8E54-9B251EDD3B2E}"/>
  <bookViews>
    <workbookView xWindow="-110" yWindow="-110" windowWidth="19420" windowHeight="10300" tabRatio="895" activeTab="1" xr2:uid="{00000000-000D-0000-FFFF-FFFF00000000}"/>
  </bookViews>
  <sheets>
    <sheet name="1. CUTTING" sheetId="21" r:id="rId1"/>
    <sheet name="2. TRIM" sheetId="22" r:id="rId2"/>
    <sheet name="M-BOM" sheetId="23" r:id="rId3"/>
    <sheet name="M-DESIGN" sheetId="24" r:id="rId4"/>
    <sheet name="M-SPEC" sheetId="25" r:id="rId5"/>
    <sheet name="M-GRADING ALPHA(S.M)" sheetId="26" r:id="rId6"/>
    <sheet name="1. CUTTING " sheetId="1" state="hidden" r:id="rId7"/>
    <sheet name="1099-624675" sheetId="14" state="hidden" r:id="rId8"/>
    <sheet name="3. ĐỊNH VỊ HÌNH IN.THÊU" sheetId="7" state="hidden" r:id="rId9"/>
    <sheet name="4. THÔNG SỐ SẢN XUẤT" sheetId="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 localSheetId="7">'[5]Chiet tinh dz22'!#REF!</definedName>
    <definedName name="_day1">'[5]Chiet tinh dz22'!#REF!</definedName>
    <definedName name="_day2">'[6]Chiet tinh dz35'!$H$3</definedName>
    <definedName name="_dbu1" localSheetId="7">'[4]CT Thang Mo'!#REF!</definedName>
    <definedName name="_dbu1">'[4]CT Thang Mo'!#REF!</definedName>
    <definedName name="_dbu2">'[4]CT Thang Mo'!$B$93:$F$93</definedName>
    <definedName name="_Fill" localSheetId="7">#REF!</definedName>
    <definedName name="_Fill" hidden="1">#REF!</definedName>
    <definedName name="_lap1" localSheetId="7">#REF!</definedName>
    <definedName name="_lap1">#REF!</definedName>
    <definedName name="_lap2" localSheetId="7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 localSheetId="7">#REF!</definedName>
    <definedName name="B_Giaù">#REF!</definedName>
    <definedName name="Bang_TK">[7]TK!$A:$IV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 localSheetId="7">#REF!</definedName>
    <definedName name="Caáp_Baät">#REF!</definedName>
    <definedName name="cap" localSheetId="7">#REF!</definedName>
    <definedName name="cap">#REF!</definedName>
    <definedName name="cap0.7" localSheetId="7">#REF!</definedName>
    <definedName name="cap0.7">#REF!</definedName>
    <definedName name="CCNK" localSheetId="7">[9]QMCT!#REF!</definedName>
    <definedName name="CCNK">[9]QMCT!#REF!</definedName>
    <definedName name="CL" localSheetId="7">#REF!</definedName>
    <definedName name="CL">#REF!</definedName>
    <definedName name="CLTMP" localSheetId="7">[9]QMCT!#REF!</definedName>
    <definedName name="CLTMP">[9]QMCT!#REF!</definedName>
    <definedName name="ctdn9697" localSheetId="7">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 localSheetId="7">#REF!</definedName>
    <definedName name="DATA_DATA2_List">#REF!</definedName>
    <definedName name="_xlnm.Database" localSheetId="7">#REF!</definedName>
    <definedName name="_xlnm.Database">#REF!</definedName>
    <definedName name="DDAY" localSheetId="7">#REF!</definedName>
    <definedName name="DDAY">#REF!</definedName>
    <definedName name="DM">#REF!</definedName>
    <definedName name="DM_1">[7]TK!$E$11:$E$60</definedName>
    <definedName name="DM_2">[7]TK!$M$11:$M$60</definedName>
    <definedName name="dobt" localSheetId="7">#REF!</definedName>
    <definedName name="dobt">#REF!</definedName>
    <definedName name="Döõ_Lieäu_Thoâ">[7]TK!$E$11:$E$60,[7]TK!$G$11:$G$60,[7]TK!$M$11:$M$60,[7]TK!$Q$11:$Q$60</definedName>
    <definedName name="dulieu" localSheetId="7">#REF!</definedName>
    <definedName name="dulieu">#REF!</definedName>
    <definedName name="FHT" localSheetId="7">#REF!</definedName>
    <definedName name="FHT">#REF!</definedName>
    <definedName name="Full" localSheetId="7">[9]QMCT!#REF!</definedName>
    <definedName name="Full">[9]QMCT!#REF!</definedName>
    <definedName name="giaca">'[10]dg-VTu'!$C$6:$F$55</definedName>
    <definedName name="HDCCT" localSheetId="7">[9]QMCT!#REF!</definedName>
    <definedName name="HDCCT">[9]QMCT!#REF!</definedName>
    <definedName name="HDCD" localSheetId="7">[9]QMCT!#REF!</definedName>
    <definedName name="HDCD">[9]QMCT!#REF!</definedName>
    <definedName name="Heâ_Soá">'[11]He so'!$A$1:$AU$1</definedName>
    <definedName name="Heä_Soá_NS" localSheetId="7">#REF!</definedName>
    <definedName name="Heä_Soá_NS">#REF!</definedName>
    <definedName name="Heä_Soá_TC">[7]HS!$C$66:$E$79</definedName>
    <definedName name="HS_1" localSheetId="7">[7]HS!#REF!</definedName>
    <definedName name="HS_1">[7]HS!#REF!</definedName>
    <definedName name="HS_2" localSheetId="7">[7]HS!#REF!</definedName>
    <definedName name="HS_2">[7]HS!#REF!</definedName>
    <definedName name="HS_3" localSheetId="7">[7]HS!#REF!</definedName>
    <definedName name="HS_3">[7]HS!#REF!</definedName>
    <definedName name="HS_4" localSheetId="7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K" localSheetId="7">#REF!</definedName>
    <definedName name="K">#REF!</definedName>
    <definedName name="K_1">[12]!K_1</definedName>
    <definedName name="K_2">[12]!K_2</definedName>
    <definedName name="Khaû_Naêng" localSheetId="7">#REF!</definedName>
    <definedName name="Khaû_Naêng">#REF!</definedName>
    <definedName name="KN" localSheetId="7">#REF!</definedName>
    <definedName name="KN">#REF!</definedName>
    <definedName name="KNIT">'[13]GENERAL (K)'!$C$7:$C$4072</definedName>
    <definedName name="KVC" localSheetId="7">#REF!</definedName>
    <definedName name="KVC">#REF!</definedName>
    <definedName name="L" localSheetId="7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 localSheetId="7">#REF!</definedName>
    <definedName name="LÑP">#REF!</definedName>
    <definedName name="lVC" localSheetId="7">#REF!</definedName>
    <definedName name="lVC">#REF!</definedName>
    <definedName name="Maõ_CÑ" localSheetId="7">#REF!</definedName>
    <definedName name="Maõ_CÑ">#REF!</definedName>
    <definedName name="Maõ_Haøng">#REF!</definedName>
    <definedName name="mat">[14]Tke!$AD$10:$AR$96</definedName>
    <definedName name="May" localSheetId="7">#REF!</definedName>
    <definedName name="May">#REF!</definedName>
    <definedName name="Naêng_Suaát_BQ">[8]QT!$P$3</definedName>
    <definedName name="Naêng_suaát_BQ__taïm" localSheetId="7">#REF!</definedName>
    <definedName name="Naêng_suaát_BQ__taïm">#REF!</definedName>
    <definedName name="Naêng_suaát_QÑ" localSheetId="7">#REF!</definedName>
    <definedName name="Naêng_suaát_QÑ">#REF!</definedName>
    <definedName name="NCcap0.7" localSheetId="7">#REF!</definedName>
    <definedName name="NCcap0.7">#REF!</definedName>
    <definedName name="NCcap1">#REF!</definedName>
    <definedName name="ÑG">[8]QT!$K$6</definedName>
    <definedName name="Ngaøy_thaùng_HH" localSheetId="7">#REF!</definedName>
    <definedName name="Ngaøy_thaùng_HH">#REF!</definedName>
    <definedName name="NHÃN_CHÍNH_GẮN_CHIP_NFC_70MM_x_38MM">'1. CUTTING '!$C$67:$E$67</definedName>
    <definedName name="Ñinh_Möùc_BQ">[8]QT!$B$5</definedName>
    <definedName name="ÑMTB" localSheetId="7">#REF!</definedName>
    <definedName name="ÑMTB">#REF!</definedName>
    <definedName name="Ñoåi_teân" localSheetId="7">[7]HS!#REF!</definedName>
    <definedName name="Ñoåi_teân">[7]HS!#REF!</definedName>
    <definedName name="Ñôn_Giaù_Duyeät" localSheetId="7">#REF!</definedName>
    <definedName name="Ñôn_Giaù_Duyeät">#REF!</definedName>
    <definedName name="Ñònh_Möùc_BQ" localSheetId="7">#REF!</definedName>
    <definedName name="Ñònh_Möùc_BQ">#REF!</definedName>
    <definedName name="NSNM" localSheetId="7">#REF!</definedName>
    <definedName name="NSNM">#REF!</definedName>
    <definedName name="NToS">[15]!NToS</definedName>
    <definedName name="PRICE" localSheetId="7">#REF!</definedName>
    <definedName name="PRICE">#REF!</definedName>
    <definedName name="_xlnm.Print_Area" localSheetId="0">'1. CUTTING'!$A$1:$P$89</definedName>
    <definedName name="_xlnm.Print_Area" localSheetId="6">'1. CUTTING '!$A$1:$P$149</definedName>
    <definedName name="_xlnm.Print_Area" localSheetId="1">'2. TRIM'!$A$1:$D$15</definedName>
    <definedName name="Print_erea">[8]QT!$A$1:$U$54</definedName>
    <definedName name="_xlnm.Print_Titles" localSheetId="0">'1. CUTTING'!$1:$15</definedName>
    <definedName name="_xlnm.Print_Titles" localSheetId="6">'1. CUTTING '!$1:$15</definedName>
    <definedName name="_xlnm.Print_Titles" localSheetId="1">'2. TRIM'!$1:$5</definedName>
    <definedName name="Quyõ_TG_SX" localSheetId="7">#REF!</definedName>
    <definedName name="Quyõ_TG_SX">#REF!</definedName>
    <definedName name="Quyõ_TGTB" localSheetId="7">#REF!</definedName>
    <definedName name="Quyõ_TGTB">#REF!</definedName>
    <definedName name="S_löôïng_BQ1toå" localSheetId="7">#REF!</definedName>
    <definedName name="S_löôïng_BQ1toå">#REF!</definedName>
    <definedName name="sau">'[6]Chiet tinh dz35'!$H$4</definedName>
    <definedName name="SDDL" localSheetId="7">[9]QMCT!#REF!</definedName>
    <definedName name="SDDL">[9]QMCT!#REF!</definedName>
    <definedName name="Soá_Giôø_TC" localSheetId="7">#REF!</definedName>
    <definedName name="Soá_Giôø_TC">#REF!</definedName>
    <definedName name="Soá_Löôïng" localSheetId="7">#REF!</definedName>
    <definedName name="Soá_Löôïng">#REF!</definedName>
    <definedName name="Soá_ngaøy_SX" localSheetId="7">#REF!</definedName>
    <definedName name="Soá_ngaøy_SX">#REF!</definedName>
    <definedName name="Soá_TT">#REF!</definedName>
    <definedName name="style">#REF!</definedName>
    <definedName name="TableStart">[16]Tables!$C$3</definedName>
    <definedName name="tablestart1">[17]Tables!$C$3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 localSheetId="7">#REF!</definedName>
    <definedName name="UH">#REF!</definedName>
    <definedName name="vc3.">'[4]CT  PL'!$B$125:$H$125</definedName>
    <definedName name="vca">'[4]CT  PL'!$B$25:$H$25</definedName>
    <definedName name="vccot" localSheetId="7">#REF!</definedName>
    <definedName name="vccot">#REF!</definedName>
    <definedName name="vccot.">'[4]CT  PL'!$B$8:$H$8</definedName>
    <definedName name="vcdbt">'[4]CT Thang Mo'!$B$220:$I$220</definedName>
    <definedName name="vcdc." localSheetId="7">'[18]Chi tiet'!#REF!</definedName>
    <definedName name="vcdc.">'[18]Chi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 localSheetId="7">#REF!</definedName>
    <definedName name="vctb">#REF!</definedName>
    <definedName name="vctt">'[4]CT  PL'!$B$288:$H$288</definedName>
    <definedName name="VDCLY" localSheetId="7">[9]QMCT!#REF!</definedName>
    <definedName name="VDCLY">[9]QMCT!#REF!</definedName>
    <definedName name="Vlcap0.7" localSheetId="7">#REF!</definedName>
    <definedName name="Vlcap0.7">#REF!</definedName>
    <definedName name="VLcap1" localSheetId="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" i="22" l="1"/>
  <c r="A8" i="22"/>
  <c r="I38" i="21"/>
  <c r="G38" i="21"/>
  <c r="E38" i="21"/>
  <c r="F31" i="26"/>
  <c r="E31" i="26"/>
  <c r="C31" i="26"/>
  <c r="B31" i="26"/>
  <c r="A31" i="26"/>
  <c r="O24" i="26"/>
  <c r="Q24" i="26" s="1"/>
  <c r="S24" i="26" s="1"/>
  <c r="M24" i="26"/>
  <c r="K24" i="26"/>
  <c r="I24" i="26"/>
  <c r="G24" i="26"/>
  <c r="F24" i="26"/>
  <c r="E24" i="26"/>
  <c r="C24" i="26"/>
  <c r="B24" i="26"/>
  <c r="A24" i="26"/>
  <c r="M23" i="26"/>
  <c r="O23" i="26" s="1"/>
  <c r="Q23" i="26" s="1"/>
  <c r="S23" i="26" s="1"/>
  <c r="F23" i="26"/>
  <c r="E23" i="26"/>
  <c r="C23" i="26"/>
  <c r="B23" i="26"/>
  <c r="A23" i="26"/>
  <c r="O22" i="26"/>
  <c r="Q22" i="26" s="1"/>
  <c r="S22" i="26" s="1"/>
  <c r="M22" i="26"/>
  <c r="K22" i="26"/>
  <c r="I22" i="26"/>
  <c r="G22" i="26"/>
  <c r="F22" i="26"/>
  <c r="E22" i="26"/>
  <c r="C22" i="26"/>
  <c r="B22" i="26"/>
  <c r="A22" i="26"/>
  <c r="M21" i="26"/>
  <c r="O21" i="26" s="1"/>
  <c r="Q21" i="26" s="1"/>
  <c r="S21" i="26" s="1"/>
  <c r="F21" i="26"/>
  <c r="E21" i="26"/>
  <c r="C21" i="26"/>
  <c r="B21" i="26"/>
  <c r="A21" i="26"/>
  <c r="O20" i="26"/>
  <c r="Q20" i="26" s="1"/>
  <c r="S20" i="26" s="1"/>
  <c r="M20" i="26"/>
  <c r="K20" i="26"/>
  <c r="I20" i="26"/>
  <c r="G20" i="26"/>
  <c r="F20" i="26"/>
  <c r="E20" i="26"/>
  <c r="C20" i="26"/>
  <c r="B20" i="26"/>
  <c r="A20" i="26"/>
  <c r="M19" i="26"/>
  <c r="O19" i="26" s="1"/>
  <c r="Q19" i="26" s="1"/>
  <c r="S19" i="26" s="1"/>
  <c r="F19" i="26"/>
  <c r="E19" i="26"/>
  <c r="C19" i="26"/>
  <c r="B19" i="26"/>
  <c r="A19" i="26"/>
  <c r="O18" i="26"/>
  <c r="Q18" i="26" s="1"/>
  <c r="S18" i="26" s="1"/>
  <c r="M18" i="26"/>
  <c r="K18" i="26"/>
  <c r="I18" i="26"/>
  <c r="G18" i="26"/>
  <c r="F18" i="26"/>
  <c r="E18" i="26"/>
  <c r="C18" i="26"/>
  <c r="B18" i="26"/>
  <c r="A18" i="26"/>
  <c r="F17" i="26"/>
  <c r="E17" i="26"/>
  <c r="C17" i="26"/>
  <c r="B17" i="26"/>
  <c r="A17" i="26"/>
  <c r="M16" i="26"/>
  <c r="O16" i="26" s="1"/>
  <c r="Q16" i="26" s="1"/>
  <c r="S16" i="26" s="1"/>
  <c r="K16" i="26"/>
  <c r="I16" i="26"/>
  <c r="G16" i="26"/>
  <c r="F16" i="26"/>
  <c r="E16" i="26"/>
  <c r="C16" i="26"/>
  <c r="B16" i="26"/>
  <c r="A16" i="26"/>
  <c r="O15" i="26"/>
  <c r="Q15" i="26" s="1"/>
  <c r="S15" i="26" s="1"/>
  <c r="M15" i="26"/>
  <c r="K15" i="26"/>
  <c r="I15" i="26"/>
  <c r="G15" i="26" s="1"/>
  <c r="F15" i="26"/>
  <c r="E15" i="26"/>
  <c r="C15" i="26"/>
  <c r="B15" i="26"/>
  <c r="A15" i="26"/>
  <c r="M14" i="26"/>
  <c r="O14" i="26" s="1"/>
  <c r="Q14" i="26" s="1"/>
  <c r="S14" i="26" s="1"/>
  <c r="K14" i="26"/>
  <c r="I14" i="26"/>
  <c r="G14" i="26"/>
  <c r="F14" i="26"/>
  <c r="E14" i="26"/>
  <c r="C14" i="26"/>
  <c r="B14" i="26"/>
  <c r="A14" i="26"/>
  <c r="O13" i="26"/>
  <c r="Q13" i="26" s="1"/>
  <c r="S13" i="26" s="1"/>
  <c r="M13" i="26"/>
  <c r="K13" i="26"/>
  <c r="I13" i="26"/>
  <c r="G13" i="26" s="1"/>
  <c r="F13" i="26"/>
  <c r="E13" i="26"/>
  <c r="C13" i="26"/>
  <c r="B13" i="26"/>
  <c r="A13" i="26"/>
  <c r="O7" i="26"/>
  <c r="M7" i="26"/>
  <c r="J7" i="26"/>
  <c r="H7" i="26"/>
  <c r="O6" i="26"/>
  <c r="M6" i="26"/>
  <c r="J6" i="26"/>
  <c r="H6" i="26"/>
  <c r="O5" i="26"/>
  <c r="M5" i="26"/>
  <c r="J5" i="26"/>
  <c r="H5" i="26"/>
  <c r="O4" i="26"/>
  <c r="M4" i="26"/>
  <c r="J4" i="26"/>
  <c r="H4" i="26"/>
  <c r="O3" i="26"/>
  <c r="M3" i="26"/>
  <c r="J3" i="26"/>
  <c r="H3" i="26"/>
  <c r="O2" i="26"/>
  <c r="M2" i="26"/>
  <c r="J2" i="26"/>
  <c r="H2" i="26"/>
  <c r="G13" i="25"/>
  <c r="O7" i="25"/>
  <c r="M7" i="25"/>
  <c r="J7" i="25"/>
  <c r="H7" i="25"/>
  <c r="O6" i="25"/>
  <c r="M6" i="25"/>
  <c r="J6" i="25"/>
  <c r="H6" i="25"/>
  <c r="O5" i="25"/>
  <c r="M5" i="25"/>
  <c r="J5" i="25"/>
  <c r="H5" i="25"/>
  <c r="O4" i="25"/>
  <c r="M4" i="25"/>
  <c r="J4" i="25"/>
  <c r="H4" i="25"/>
  <c r="O3" i="25"/>
  <c r="M3" i="25"/>
  <c r="J3" i="25"/>
  <c r="H3" i="25"/>
  <c r="O2" i="25"/>
  <c r="M2" i="25"/>
  <c r="J2" i="25"/>
  <c r="H2" i="25"/>
  <c r="K7" i="24"/>
  <c r="I7" i="24"/>
  <c r="F7" i="24"/>
  <c r="D7" i="24"/>
  <c r="K6" i="24"/>
  <c r="I6" i="24"/>
  <c r="F6" i="24"/>
  <c r="D6" i="24"/>
  <c r="K5" i="24"/>
  <c r="I5" i="24"/>
  <c r="F5" i="24"/>
  <c r="D5" i="24"/>
  <c r="K4" i="24"/>
  <c r="I4" i="24"/>
  <c r="F4" i="24"/>
  <c r="D4" i="24"/>
  <c r="K3" i="24"/>
  <c r="I3" i="24"/>
  <c r="F3" i="24"/>
  <c r="D3" i="24"/>
  <c r="K2" i="24"/>
  <c r="I2" i="24"/>
  <c r="F2" i="24"/>
  <c r="D2" i="24"/>
  <c r="K7" i="23"/>
  <c r="I7" i="23"/>
  <c r="F7" i="23"/>
  <c r="D7" i="23"/>
  <c r="K6" i="23"/>
  <c r="I6" i="23"/>
  <c r="F6" i="23"/>
  <c r="D6" i="23"/>
  <c r="K5" i="23"/>
  <c r="I5" i="23"/>
  <c r="F5" i="23"/>
  <c r="D5" i="23"/>
  <c r="K4" i="23"/>
  <c r="I4" i="23"/>
  <c r="F4" i="23"/>
  <c r="D4" i="23"/>
  <c r="K3" i="23"/>
  <c r="I3" i="23"/>
  <c r="F3" i="23"/>
  <c r="D3" i="23"/>
  <c r="K2" i="23"/>
  <c r="I2" i="23"/>
  <c r="F2" i="23"/>
  <c r="D2" i="23"/>
  <c r="J38" i="21" l="1"/>
  <c r="L38" i="21" s="1"/>
  <c r="K19" i="26"/>
  <c r="I19" i="26" s="1"/>
  <c r="G19" i="26" s="1"/>
  <c r="K21" i="26"/>
  <c r="I21" i="26" s="1"/>
  <c r="G21" i="26" s="1"/>
  <c r="K23" i="26"/>
  <c r="I23" i="26" s="1"/>
  <c r="G23" i="26" s="1"/>
  <c r="H59" i="21" l="1"/>
  <c r="B66" i="21" l="1"/>
  <c r="B14" i="22"/>
  <c r="I20" i="21" l="1"/>
  <c r="J19" i="21"/>
  <c r="J20" i="21" s="1"/>
  <c r="K19" i="21"/>
  <c r="K20" i="21" s="1"/>
  <c r="L19" i="21"/>
  <c r="L20" i="21" s="1"/>
  <c r="H19" i="21"/>
  <c r="L26" i="21" l="1"/>
  <c r="L27" i="21" s="1"/>
  <c r="K26" i="21"/>
  <c r="K27" i="21" s="1"/>
  <c r="J26" i="21"/>
  <c r="J27" i="21" s="1"/>
  <c r="I26" i="21"/>
  <c r="I27" i="21" s="1"/>
  <c r="H26" i="21"/>
  <c r="H27" i="21" s="1"/>
  <c r="G26" i="21"/>
  <c r="G27" i="21" s="1"/>
  <c r="G19" i="21"/>
  <c r="C11" i="22" l="1"/>
  <c r="L49" i="21" l="1"/>
  <c r="L48" i="21"/>
  <c r="L47" i="21"/>
  <c r="L46" i="21"/>
  <c r="L45" i="21"/>
  <c r="L44" i="21"/>
  <c r="P29" i="21"/>
  <c r="P28" i="21"/>
  <c r="P22" i="21"/>
  <c r="P21" i="21"/>
  <c r="B74" i="21" l="1"/>
  <c r="D5" i="22" l="1"/>
  <c r="D6" i="22" s="1"/>
  <c r="C5" i="22"/>
  <c r="C6" i="22" s="1"/>
  <c r="D10" i="22"/>
  <c r="P26" i="21"/>
  <c r="D26" i="21"/>
  <c r="D27" i="21" s="1"/>
  <c r="P25" i="21"/>
  <c r="D28" i="21" l="1"/>
  <c r="D29" i="21" s="1"/>
  <c r="P27" i="21"/>
  <c r="H20" i="21"/>
  <c r="H31" i="21" s="1"/>
  <c r="D88" i="21" s="1"/>
  <c r="I31" i="21"/>
  <c r="E88" i="21" s="1"/>
  <c r="J31" i="21"/>
  <c r="F88" i="21" s="1"/>
  <c r="K31" i="21"/>
  <c r="G88" i="21" s="1"/>
  <c r="L31" i="21"/>
  <c r="H88" i="21" s="1"/>
  <c r="G20" i="21"/>
  <c r="G31" i="21" s="1"/>
  <c r="E36" i="21"/>
  <c r="B75" i="21" l="1"/>
  <c r="C10" i="22"/>
  <c r="A12" i="22"/>
  <c r="B7" i="22"/>
  <c r="H45" i="21" l="1"/>
  <c r="H47" i="21" s="1"/>
  <c r="H49" i="21" s="1"/>
  <c r="H51" i="21" s="1"/>
  <c r="P31" i="21"/>
  <c r="K59" i="21" s="1"/>
  <c r="M59" i="21" s="1"/>
  <c r="O59" i="21" s="1"/>
  <c r="C88" i="21"/>
  <c r="I88" i="21" s="1"/>
  <c r="H42" i="21"/>
  <c r="H44" i="21" s="1"/>
  <c r="H46" i="21" s="1"/>
  <c r="H48" i="21" s="1"/>
  <c r="H50" i="21" s="1"/>
  <c r="H52" i="21" s="1"/>
  <c r="H41" i="21"/>
  <c r="G36" i="21" l="1"/>
  <c r="K45" i="21"/>
  <c r="K53" i="21"/>
  <c r="K41" i="21"/>
  <c r="K55" i="21"/>
  <c r="K44" i="21"/>
  <c r="K42" i="21"/>
  <c r="K46" i="21"/>
  <c r="K54" i="21"/>
  <c r="K49" i="21"/>
  <c r="K50" i="21"/>
  <c r="K51" i="21"/>
  <c r="K52" i="21"/>
  <c r="K47" i="21"/>
  <c r="K48" i="21"/>
  <c r="H53" i="21"/>
  <c r="H54" i="21"/>
  <c r="B10" i="22"/>
  <c r="A10" i="22"/>
  <c r="H56" i="21" l="1"/>
  <c r="H58" i="21" s="1"/>
  <c r="H55" i="21"/>
  <c r="H57" i="21" s="1"/>
  <c r="M45" i="21"/>
  <c r="O45" i="21" s="1"/>
  <c r="B36" i="21"/>
  <c r="M47" i="21" l="1"/>
  <c r="O47" i="21" s="1"/>
  <c r="M55" i="21"/>
  <c r="O55" i="21" s="1"/>
  <c r="B12" i="22"/>
  <c r="M49" i="21" l="1"/>
  <c r="O49" i="21" s="1"/>
  <c r="M51" i="21" l="1"/>
  <c r="O51" i="21" s="1"/>
  <c r="A35" i="21"/>
  <c r="B4" i="22"/>
  <c r="A4" i="22"/>
  <c r="B3" i="22"/>
  <c r="A3" i="22"/>
  <c r="B2" i="22"/>
  <c r="A2" i="22"/>
  <c r="D19" i="21"/>
  <c r="P19" i="21"/>
  <c r="P18" i="21"/>
  <c r="B50" i="1"/>
  <c r="B46" i="1"/>
  <c r="B42" i="1"/>
  <c r="R37" i="1"/>
  <c r="S37" i="1"/>
  <c r="T37" i="1"/>
  <c r="U37" i="1"/>
  <c r="V37" i="1"/>
  <c r="Q37" i="1"/>
  <c r="L34" i="1"/>
  <c r="K34" i="1"/>
  <c r="K35" i="1" s="1"/>
  <c r="J34" i="1"/>
  <c r="J35" i="1" s="1"/>
  <c r="I34" i="1"/>
  <c r="I35" i="1" s="1"/>
  <c r="H34" i="1"/>
  <c r="G34" i="1"/>
  <c r="G35" i="1" s="1"/>
  <c r="L29" i="1"/>
  <c r="L30" i="1" s="1"/>
  <c r="K29" i="1"/>
  <c r="K30" i="1" s="1"/>
  <c r="J29" i="1"/>
  <c r="J30" i="1" s="1"/>
  <c r="I29" i="1"/>
  <c r="I30" i="1" s="1"/>
  <c r="H29" i="1"/>
  <c r="G29" i="1"/>
  <c r="L24" i="1"/>
  <c r="K24" i="1"/>
  <c r="K25" i="1" s="1"/>
  <c r="J24" i="1"/>
  <c r="I24" i="1"/>
  <c r="I25" i="1" s="1"/>
  <c r="H24" i="1"/>
  <c r="G24" i="1"/>
  <c r="G25" i="1" s="1"/>
  <c r="I19" i="1"/>
  <c r="D35" i="1"/>
  <c r="D34" i="1"/>
  <c r="D30" i="1"/>
  <c r="D29" i="1"/>
  <c r="D25" i="1"/>
  <c r="D24" i="1"/>
  <c r="D20" i="1"/>
  <c r="D19" i="1"/>
  <c r="L19" i="1"/>
  <c r="L20" i="1" s="1"/>
  <c r="K19" i="1"/>
  <c r="K20" i="1" s="1"/>
  <c r="J19" i="1"/>
  <c r="J20" i="1" s="1"/>
  <c r="H19" i="1"/>
  <c r="H20" i="1" s="1"/>
  <c r="G19" i="1"/>
  <c r="G20" i="1" s="1"/>
  <c r="L116" i="1"/>
  <c r="L117" i="1"/>
  <c r="L118" i="1"/>
  <c r="L115" i="1"/>
  <c r="L112" i="1"/>
  <c r="L113" i="1"/>
  <c r="L114" i="1"/>
  <c r="L111" i="1"/>
  <c r="L108" i="1"/>
  <c r="L109" i="1"/>
  <c r="L110" i="1"/>
  <c r="L107" i="1"/>
  <c r="L61" i="1"/>
  <c r="L62" i="1"/>
  <c r="L63" i="1"/>
  <c r="L60" i="1"/>
  <c r="L35" i="1"/>
  <c r="H35" i="1"/>
  <c r="H30" i="1"/>
  <c r="L25" i="1"/>
  <c r="J25" i="1"/>
  <c r="I20" i="1"/>
  <c r="F15" i="14"/>
  <c r="G15" i="14" s="1"/>
  <c r="H15" i="14" s="1"/>
  <c r="C15" i="14"/>
  <c r="B15" i="14"/>
  <c r="F14" i="14"/>
  <c r="G14" i="14" s="1"/>
  <c r="C14" i="14"/>
  <c r="B14" i="14"/>
  <c r="B54" i="1"/>
  <c r="P33" i="1"/>
  <c r="P28" i="1"/>
  <c r="P23" i="1"/>
  <c r="P18" i="1"/>
  <c r="F62" i="1"/>
  <c r="A53" i="1"/>
  <c r="A49" i="1"/>
  <c r="H70" i="1" s="1"/>
  <c r="H118" i="1"/>
  <c r="H114" i="1"/>
  <c r="H122" i="1"/>
  <c r="B132" i="1"/>
  <c r="H110" i="1"/>
  <c r="H98" i="1"/>
  <c r="H106" i="1"/>
  <c r="H102" i="1"/>
  <c r="H94" i="1"/>
  <c r="H83" i="1"/>
  <c r="H87" i="1"/>
  <c r="H71" i="1"/>
  <c r="H79" i="1"/>
  <c r="H75" i="1"/>
  <c r="H62" i="1"/>
  <c r="E54" i="1"/>
  <c r="E55" i="1" s="1"/>
  <c r="E56" i="1" s="1"/>
  <c r="H63" i="1"/>
  <c r="H67" i="1"/>
  <c r="A45" i="1"/>
  <c r="E46" i="1" s="1"/>
  <c r="E47" i="1" s="1"/>
  <c r="E48" i="1" s="1"/>
  <c r="A41" i="1"/>
  <c r="H111" i="1" s="1"/>
  <c r="K56" i="21" l="1"/>
  <c r="M53" i="21"/>
  <c r="O53" i="21" s="1"/>
  <c r="F61" i="1"/>
  <c r="H115" i="1"/>
  <c r="P24" i="1"/>
  <c r="H119" i="1"/>
  <c r="H64" i="1"/>
  <c r="H107" i="1"/>
  <c r="H80" i="1"/>
  <c r="B129" i="1"/>
  <c r="H95" i="1"/>
  <c r="H103" i="1"/>
  <c r="H91" i="1"/>
  <c r="F60" i="1"/>
  <c r="H68" i="1"/>
  <c r="H76" i="1"/>
  <c r="H60" i="1"/>
  <c r="E42" i="1"/>
  <c r="E43" i="1" s="1"/>
  <c r="E44" i="1" s="1"/>
  <c r="H77" i="1"/>
  <c r="H104" i="1"/>
  <c r="P19" i="1"/>
  <c r="F63" i="1"/>
  <c r="J15" i="14"/>
  <c r="H105" i="1"/>
  <c r="H109" i="1"/>
  <c r="H25" i="1"/>
  <c r="P25" i="1" s="1"/>
  <c r="K69" i="1" s="1"/>
  <c r="M69" i="1" s="1"/>
  <c r="O69" i="1" s="1"/>
  <c r="K37" i="1"/>
  <c r="G147" i="1" s="1"/>
  <c r="H101" i="1"/>
  <c r="B131" i="1"/>
  <c r="I15" i="14"/>
  <c r="H97" i="1"/>
  <c r="L37" i="1"/>
  <c r="H147" i="1" s="1"/>
  <c r="P29" i="1"/>
  <c r="W37" i="1"/>
  <c r="H86" i="1"/>
  <c r="H66" i="1"/>
  <c r="E50" i="1"/>
  <c r="E51" i="1" s="1"/>
  <c r="E52" i="1" s="1"/>
  <c r="D20" i="21"/>
  <c r="H14" i="14"/>
  <c r="I14" i="14"/>
  <c r="J14" i="14"/>
  <c r="P35" i="1"/>
  <c r="P20" i="1"/>
  <c r="J37" i="1"/>
  <c r="F147" i="1" s="1"/>
  <c r="I37" i="1"/>
  <c r="E147" i="1" s="1"/>
  <c r="H81" i="1"/>
  <c r="H82" i="1"/>
  <c r="H121" i="1"/>
  <c r="G30" i="1"/>
  <c r="P30" i="1" s="1"/>
  <c r="B130" i="1"/>
  <c r="H65" i="1"/>
  <c r="H116" i="1"/>
  <c r="H69" i="1"/>
  <c r="H112" i="1"/>
  <c r="H72" i="1"/>
  <c r="H99" i="1"/>
  <c r="H117" i="1"/>
  <c r="H74" i="1"/>
  <c r="H93" i="1"/>
  <c r="H113" i="1"/>
  <c r="P34" i="1"/>
  <c r="H100" i="1"/>
  <c r="H92" i="1"/>
  <c r="H85" i="1"/>
  <c r="K104" i="1"/>
  <c r="M104" i="1" s="1"/>
  <c r="O104" i="1" s="1"/>
  <c r="H108" i="1"/>
  <c r="H78" i="1"/>
  <c r="H96" i="1"/>
  <c r="H84" i="1"/>
  <c r="H61" i="1"/>
  <c r="H73" i="1"/>
  <c r="H120" i="1"/>
  <c r="B5" i="22"/>
  <c r="P20" i="21"/>
  <c r="M56" i="21" l="1"/>
  <c r="O56" i="21" s="1"/>
  <c r="K58" i="21"/>
  <c r="M58" i="21" s="1"/>
  <c r="O58" i="21" s="1"/>
  <c r="B81" i="21"/>
  <c r="D21" i="21"/>
  <c r="D22" i="21" s="1"/>
  <c r="K100" i="1"/>
  <c r="M100" i="1" s="1"/>
  <c r="O100" i="1" s="1"/>
  <c r="K65" i="1"/>
  <c r="M65" i="1" s="1"/>
  <c r="O65" i="1" s="1"/>
  <c r="K85" i="1"/>
  <c r="M85" i="1" s="1"/>
  <c r="O85" i="1" s="1"/>
  <c r="H37" i="1"/>
  <c r="D147" i="1" s="1"/>
  <c r="K120" i="1"/>
  <c r="M120" i="1" s="1"/>
  <c r="O120" i="1" s="1"/>
  <c r="K81" i="1"/>
  <c r="M81" i="1" s="1"/>
  <c r="O81" i="1" s="1"/>
  <c r="K96" i="1"/>
  <c r="M96" i="1" s="1"/>
  <c r="O96" i="1" s="1"/>
  <c r="K116" i="1"/>
  <c r="M116" i="1" s="1"/>
  <c r="O116" i="1" s="1"/>
  <c r="K92" i="1"/>
  <c r="M92" i="1" s="1"/>
  <c r="O92" i="1" s="1"/>
  <c r="K73" i="1"/>
  <c r="M73" i="1" s="1"/>
  <c r="O73" i="1" s="1"/>
  <c r="K61" i="1"/>
  <c r="M61" i="1" s="1"/>
  <c r="O61" i="1" s="1"/>
  <c r="K77" i="1"/>
  <c r="M77" i="1" s="1"/>
  <c r="O77" i="1" s="1"/>
  <c r="K108" i="1"/>
  <c r="M108" i="1" s="1"/>
  <c r="O108" i="1" s="1"/>
  <c r="K112" i="1"/>
  <c r="M112" i="1" s="1"/>
  <c r="O112" i="1" s="1"/>
  <c r="G46" i="1"/>
  <c r="G37" i="1"/>
  <c r="C147" i="1" s="1"/>
  <c r="K105" i="1"/>
  <c r="M105" i="1" s="1"/>
  <c r="O105" i="1" s="1"/>
  <c r="K82" i="1"/>
  <c r="M82" i="1" s="1"/>
  <c r="O82" i="1" s="1"/>
  <c r="K117" i="1"/>
  <c r="M117" i="1" s="1"/>
  <c r="O117" i="1" s="1"/>
  <c r="K86" i="1"/>
  <c r="M86" i="1" s="1"/>
  <c r="O86" i="1" s="1"/>
  <c r="K66" i="1"/>
  <c r="M66" i="1" s="1"/>
  <c r="O66" i="1" s="1"/>
  <c r="K70" i="1"/>
  <c r="M70" i="1" s="1"/>
  <c r="O70" i="1" s="1"/>
  <c r="K78" i="1"/>
  <c r="M78" i="1" s="1"/>
  <c r="O78" i="1" s="1"/>
  <c r="K121" i="1"/>
  <c r="M121" i="1" s="1"/>
  <c r="O121" i="1" s="1"/>
  <c r="K74" i="1"/>
  <c r="M74" i="1" s="1"/>
  <c r="O74" i="1" s="1"/>
  <c r="K93" i="1"/>
  <c r="M93" i="1" s="1"/>
  <c r="O93" i="1" s="1"/>
  <c r="K101" i="1"/>
  <c r="M101" i="1" s="1"/>
  <c r="O101" i="1" s="1"/>
  <c r="K97" i="1"/>
  <c r="M97" i="1" s="1"/>
  <c r="O97" i="1" s="1"/>
  <c r="K62" i="1"/>
  <c r="M62" i="1" s="1"/>
  <c r="O62" i="1" s="1"/>
  <c r="G50" i="1"/>
  <c r="K113" i="1"/>
  <c r="M113" i="1" s="1"/>
  <c r="O113" i="1" s="1"/>
  <c r="K109" i="1"/>
  <c r="M109" i="1" s="1"/>
  <c r="O109" i="1" s="1"/>
  <c r="K91" i="1"/>
  <c r="M91" i="1" s="1"/>
  <c r="O91" i="1" s="1"/>
  <c r="K107" i="1"/>
  <c r="M107" i="1" s="1"/>
  <c r="O107" i="1" s="1"/>
  <c r="K95" i="1"/>
  <c r="M95" i="1" s="1"/>
  <c r="O95" i="1" s="1"/>
  <c r="K80" i="1"/>
  <c r="M80" i="1" s="1"/>
  <c r="O80" i="1" s="1"/>
  <c r="K84" i="1"/>
  <c r="M84" i="1" s="1"/>
  <c r="O84" i="1" s="1"/>
  <c r="G42" i="1"/>
  <c r="K111" i="1"/>
  <c r="M111" i="1" s="1"/>
  <c r="O111" i="1" s="1"/>
  <c r="K115" i="1"/>
  <c r="M115" i="1" s="1"/>
  <c r="O115" i="1" s="1"/>
  <c r="K68" i="1"/>
  <c r="M68" i="1" s="1"/>
  <c r="O68" i="1" s="1"/>
  <c r="K72" i="1"/>
  <c r="M72" i="1" s="1"/>
  <c r="O72" i="1" s="1"/>
  <c r="K99" i="1"/>
  <c r="M99" i="1" s="1"/>
  <c r="O99" i="1" s="1"/>
  <c r="K76" i="1"/>
  <c r="M76" i="1" s="1"/>
  <c r="O76" i="1" s="1"/>
  <c r="K103" i="1"/>
  <c r="M103" i="1" s="1"/>
  <c r="O103" i="1" s="1"/>
  <c r="K119" i="1"/>
  <c r="M119" i="1" s="1"/>
  <c r="O119" i="1" s="1"/>
  <c r="K60" i="1"/>
  <c r="M60" i="1" s="1"/>
  <c r="O60" i="1" s="1"/>
  <c r="P37" i="1"/>
  <c r="K64" i="1"/>
  <c r="M64" i="1" s="1"/>
  <c r="O64" i="1" s="1"/>
  <c r="K75" i="1"/>
  <c r="M75" i="1" s="1"/>
  <c r="O75" i="1" s="1"/>
  <c r="K63" i="1"/>
  <c r="M63" i="1" s="1"/>
  <c r="O63" i="1" s="1"/>
  <c r="K106" i="1"/>
  <c r="M106" i="1" s="1"/>
  <c r="O106" i="1" s="1"/>
  <c r="K102" i="1"/>
  <c r="M102" i="1" s="1"/>
  <c r="O102" i="1" s="1"/>
  <c r="K83" i="1"/>
  <c r="M83" i="1" s="1"/>
  <c r="O83" i="1" s="1"/>
  <c r="K67" i="1"/>
  <c r="M67" i="1" s="1"/>
  <c r="O67" i="1" s="1"/>
  <c r="K114" i="1"/>
  <c r="M114" i="1" s="1"/>
  <c r="O114" i="1" s="1"/>
  <c r="K87" i="1"/>
  <c r="M87" i="1" s="1"/>
  <c r="O87" i="1" s="1"/>
  <c r="K122" i="1"/>
  <c r="M122" i="1" s="1"/>
  <c r="O122" i="1" s="1"/>
  <c r="K79" i="1"/>
  <c r="M79" i="1" s="1"/>
  <c r="O79" i="1" s="1"/>
  <c r="G54" i="1"/>
  <c r="K110" i="1"/>
  <c r="M110" i="1" s="1"/>
  <c r="O110" i="1" s="1"/>
  <c r="K71" i="1"/>
  <c r="M71" i="1" s="1"/>
  <c r="O71" i="1" s="1"/>
  <c r="K94" i="1"/>
  <c r="M94" i="1" s="1"/>
  <c r="O94" i="1" s="1"/>
  <c r="K118" i="1"/>
  <c r="M118" i="1" s="1"/>
  <c r="O118" i="1" s="1"/>
  <c r="K98" i="1"/>
  <c r="M98" i="1" s="1"/>
  <c r="O98" i="1" s="1"/>
  <c r="M41" i="21"/>
  <c r="O41" i="21" s="1"/>
  <c r="B6" i="22"/>
  <c r="M42" i="21" l="1"/>
  <c r="O42" i="21" s="1"/>
  <c r="G47" i="1"/>
  <c r="I46" i="1"/>
  <c r="G55" i="1"/>
  <c r="I54" i="1"/>
  <c r="G43" i="1"/>
  <c r="I42" i="1"/>
  <c r="G51" i="1"/>
  <c r="I50" i="1"/>
  <c r="I36" i="21"/>
  <c r="J36" i="21" s="1"/>
  <c r="L36" i="21" l="1"/>
  <c r="M44" i="21"/>
  <c r="O44" i="21" s="1"/>
  <c r="J46" i="1"/>
  <c r="L46" i="1"/>
  <c r="G48" i="1"/>
  <c r="I48" i="1" s="1"/>
  <c r="I47" i="1"/>
  <c r="J50" i="1"/>
  <c r="L50" i="1" s="1"/>
  <c r="I51" i="1"/>
  <c r="G52" i="1"/>
  <c r="I52" i="1" s="1"/>
  <c r="J42" i="1"/>
  <c r="L42" i="1" s="1"/>
  <c r="I43" i="1"/>
  <c r="G44" i="1"/>
  <c r="I44" i="1" s="1"/>
  <c r="J54" i="1"/>
  <c r="L54" i="1"/>
  <c r="I55" i="1"/>
  <c r="G56" i="1"/>
  <c r="I56" i="1" s="1"/>
  <c r="M46" i="21" l="1"/>
  <c r="O46" i="21" s="1"/>
  <c r="J47" i="1"/>
  <c r="L47" i="1" s="1"/>
  <c r="J48" i="1"/>
  <c r="L48" i="1" s="1"/>
  <c r="J56" i="1"/>
  <c r="L56" i="1" s="1"/>
  <c r="J52" i="1"/>
  <c r="L52" i="1" s="1"/>
  <c r="J44" i="1"/>
  <c r="L44" i="1" s="1"/>
  <c r="J43" i="1"/>
  <c r="L43" i="1" s="1"/>
  <c r="J51" i="1"/>
  <c r="L51" i="1" s="1"/>
  <c r="J55" i="1"/>
  <c r="L55" i="1" s="1"/>
  <c r="M48" i="21" l="1"/>
  <c r="O48" i="21" s="1"/>
  <c r="M54" i="21" l="1"/>
  <c r="O54" i="21" s="1"/>
  <c r="M50" i="21"/>
  <c r="O50" i="21" s="1"/>
  <c r="M52" i="21" l="1"/>
  <c r="O52" i="21" s="1"/>
  <c r="K57" i="21" l="1"/>
  <c r="M57" i="21" s="1"/>
  <c r="O57" i="21" s="1"/>
</calcChain>
</file>

<file path=xl/sharedStrings.xml><?xml version="1.0" encoding="utf-8"?>
<sst xmlns="http://schemas.openxmlformats.org/spreadsheetml/2006/main" count="864" uniqueCount="371">
  <si>
    <t>Mã số:</t>
  </si>
  <si>
    <t>MER.QT-1.BM.4</t>
  </si>
  <si>
    <t>Lần ban hành:</t>
  </si>
  <si>
    <t>01</t>
  </si>
  <si>
    <t>Số trang</t>
  </si>
  <si>
    <t>03/03</t>
  </si>
  <si>
    <t>MER - CHI/NGAN 210</t>
  </si>
  <si>
    <t>CUTTING DOCKET</t>
  </si>
  <si>
    <t>QUY CÁCH MAY : THEO TÀI LIỆU ĐÍNH KÈM</t>
  </si>
  <si>
    <t xml:space="preserve">JOB NUMBER:  </t>
  </si>
  <si>
    <t>M29  SS25  S2751</t>
  </si>
  <si>
    <t xml:space="preserve">STYLE NUMBER: </t>
  </si>
  <si>
    <t>M29-SS01</t>
  </si>
  <si>
    <t xml:space="preserve">STYLE NAME : </t>
  </si>
  <si>
    <t>RELAXED TEE</t>
  </si>
  <si>
    <t>SEASON:</t>
  </si>
  <si>
    <t>SS25</t>
  </si>
  <si>
    <t>TÊN HÀNG:</t>
  </si>
  <si>
    <t>TEE</t>
  </si>
  <si>
    <t>DROP:</t>
  </si>
  <si>
    <t>SAMPLING</t>
  </si>
  <si>
    <t>NGÀY CẤP:</t>
  </si>
  <si>
    <t>VẢI CHÍNH:</t>
  </si>
  <si>
    <t>NYLON RIP STOP</t>
  </si>
  <si>
    <t>NGÀY GIAO HÀNG:</t>
  </si>
  <si>
    <t xml:space="preserve">THÀNH PHẦN VẢI: </t>
  </si>
  <si>
    <t>100%NY LON</t>
  </si>
  <si>
    <t>KHỔ VẢI:</t>
  </si>
  <si>
    <t>168CM</t>
  </si>
  <si>
    <t xml:space="preserve">Xí nghiệp: </t>
  </si>
  <si>
    <t>UN-AVAILABLE</t>
  </si>
  <si>
    <t>KHÁCH HÀNG:</t>
  </si>
  <si>
    <t>MSCHF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</si>
  <si>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</si>
  <si>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</si>
  <si>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</si>
  <si>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</si>
  <si>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</si>
  <si>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</si>
  <si>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</si>
  <si>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</si>
  <si>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</si>
  <si>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</si>
  <si>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</si>
  <si>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</si>
  <si>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</si>
  <si>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</si>
  <si>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</si>
  <si>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</t>
  </si>
  <si>
    <t>ÁO CHO PAUL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</si>
  <si>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</si>
  <si>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</si>
  <si>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</si>
  <si>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</si>
  <si>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</si>
  <si>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</si>
  <si>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</si>
  <si>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</si>
  <si>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</si>
  <si>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</si>
  <si>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OUTSOURCE</t>
  </si>
  <si>
    <t>SỐ LƯỢNG CẦN CẤP CHO TỔ CẮT (GROSS)</t>
  </si>
  <si>
    <t xml:space="preserve">GHI CHÚ / CODE VẢI </t>
  </si>
  <si>
    <t>- LƯU Ý: CẮT/MAY ĐỒNG BỘ LOT VẢI CHÍNH TRÊN 1 SẢN PHẨM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</si>
  <si>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</si>
  <si>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</si>
  <si>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</si>
  <si>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</si>
  <si>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</si>
  <si>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</si>
  <si>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</si>
  <si>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</si>
  <si>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</si>
  <si>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</si>
  <si>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</si>
  <si>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CON CHẶN</t>
  </si>
  <si>
    <t>PCS</t>
  </si>
  <si>
    <t>MẮC CÁO</t>
  </si>
  <si>
    <t>PHẦN C: PHỤ LIỆU ĐÓNG GÓI</t>
  </si>
  <si>
    <t>BAO LỚN (100CMX120CM)</t>
  </si>
  <si>
    <t>CLEAR</t>
  </si>
  <si>
    <t>LÓT THÙNG</t>
  </si>
  <si>
    <t>NATURAL</t>
  </si>
  <si>
    <t>THÙNG CARTON</t>
  </si>
  <si>
    <t>GIẤY CHỐNG ẨM 32cm (L) x 20cm (W)</t>
  </si>
  <si>
    <t>WHITE</t>
  </si>
  <si>
    <t>THẺ BÀI</t>
  </si>
  <si>
    <t>POLYBAG MAINLINE 18” (L) X 13.875” (W)</t>
  </si>
  <si>
    <t>BARCODE STICKER 2” (L) x 1” (W)</t>
  </si>
  <si>
    <t>POLYBAG 18” (L) X 13.875” (W)</t>
  </si>
  <si>
    <t>DÂY THUN TRÒN 3MM</t>
  </si>
  <si>
    <t>PHẦN C: IN/ THÊU/ WASH</t>
  </si>
  <si>
    <t>PHẦN D: HÌNH</t>
  </si>
  <si>
    <t>IN:</t>
  </si>
  <si>
    <t>KHÔNG IN</t>
  </si>
  <si>
    <t>CHẤT LƯỢNG VÀ KÍCH THƯỚC</t>
  </si>
  <si>
    <t>DUYỆT HÌNH IN THEO</t>
  </si>
  <si>
    <t>NHƯ TECHPACKS</t>
  </si>
  <si>
    <t>THÔNG TIN ĐỊNH VỊ HÌNH THÊU</t>
  </si>
  <si>
    <t>ĐỊNH VỊ HÌNH IN: CANH GIỮA THÂN TRƯỚC</t>
  </si>
  <si>
    <t>PHÒNG RẬP ADVISE</t>
  </si>
  <si>
    <r>
      <t>THÊU :</t>
    </r>
    <r>
      <rPr>
        <b/>
        <sz val="32"/>
        <rFont val="Muli"/>
      </rPr>
      <t xml:space="preserve"> </t>
    </r>
  </si>
  <si>
    <t>KHÔNG THÊU</t>
  </si>
  <si>
    <t>DUYỆT HÌNH THÊU THEO</t>
  </si>
  <si>
    <t>DUYỆT MÀU SẮC, CHẤT LƯỢNG, KÍCH THƯỚC HÌNH THÊU THEO ÁO MẪU PROTO, MÃ CRTZ-1113, MÀU WHITE, SIZE L</t>
  </si>
  <si>
    <t>DUYỆT MÀU SẮC, CHẤT LƯỢNG, KÍCH THƯỚC HÌNH THÊU THEO ÁO MẪU PROTO, MÃ CRTZ-1113, MÀU HEATHER GREY, SIZE L</t>
  </si>
  <si>
    <t>ĐỊNH VỊ HÌNH THÊU: CANH GIỮA THÂN TRƯỚC, TỪ GIỮA ĐƯỜNG ĐÁNH BÔNG XUỐNG</t>
  </si>
  <si>
    <t>1/2 INCH</t>
  </si>
  <si>
    <r>
      <t>WASH:</t>
    </r>
    <r>
      <rPr>
        <sz val="32"/>
        <rFont val="Muli"/>
      </rPr>
      <t xml:space="preserve"> </t>
    </r>
  </si>
  <si>
    <t xml:space="preserve">KHÔNG WASH </t>
  </si>
  <si>
    <t>CHẤT LƯỢNG, HIỆU ỨNG VÀ MÀU SẮC DUYỆT THEO</t>
  </si>
  <si>
    <t>THAM KHẢO ÁO MẪU SIZE SET, 
MÃ C21-TS07, MÀU BLACK, SIZE XXL ĐÃ CHUYỂN NGÀY 27/9</t>
  </si>
  <si>
    <t>ÉP KEO TẠI CÁC ĐƯỜNG SEAM</t>
  </si>
  <si>
    <t xml:space="preserve">PHẦN F: LƯU Ý </t>
  </si>
  <si>
    <t>- THAM KHẢO MẪU VÀ TÀI LIỆU ĐÍNH KÈM</t>
  </si>
  <si>
    <t>- CÁCH GẮN NHÃN PHẢI NHƯ TÀI LIỆU YÊU CẦU</t>
  </si>
  <si>
    <t>- NHÃN SIZE - SỐ LƯỢNG MỖI SIZE NHƯ SAU:</t>
  </si>
  <si>
    <t>SIZE</t>
  </si>
  <si>
    <t>SỐ LƯỢNG</t>
  </si>
  <si>
    <t>GÓP Ý MẪU 1ST PROTO SAMPLE</t>
  </si>
  <si>
    <t xml:space="preserve">VẢI CHÍNH </t>
  </si>
  <si>
    <t>THÀNH PHẦN</t>
  </si>
  <si>
    <t>TẠI CỔ/ LAI ÁO VÀ CỬA TAY</t>
  </si>
  <si>
    <t>THUN TRÒN 3MM</t>
  </si>
  <si>
    <t>LUỒN TẠI LAI CỔ/ LAI ÁO VÀ CỬA TAY</t>
  </si>
  <si>
    <t>BILL OF MATERIALS</t>
  </si>
  <si>
    <t>FABRIC</t>
  </si>
  <si>
    <t>CODE / DESCRIPTION / CONTENT / WEIGHT</t>
  </si>
  <si>
    <t>PLACEMENT</t>
  </si>
  <si>
    <t>IMAGE</t>
  </si>
  <si>
    <t>SUPPLIER</t>
  </si>
  <si>
    <t>COLORWAY 1</t>
  </si>
  <si>
    <t>COLORWAY 2</t>
  </si>
  <si>
    <t>COLORWAY 3</t>
  </si>
  <si>
    <t>COLORWAY 4</t>
  </si>
  <si>
    <t>COLORWAY 5</t>
  </si>
  <si>
    <t>notes</t>
  </si>
  <si>
    <t>SELF 主料</t>
  </si>
  <si>
    <t>LIGHT WEIGHT NYLON RIP STOP (SEE IMG)</t>
  </si>
  <si>
    <t>EXTERIOR LAYER / INTERIOR POCKET BAG / BINDING</t>
  </si>
  <si>
    <t>VENDOR SOURCE</t>
  </si>
  <si>
    <t>SELF (COMBO)</t>
  </si>
  <si>
    <t>LIGHT WEIGHT BASEBALL SPORTS MESH (SEE IMG)</t>
  </si>
  <si>
    <t>INTERIOR LAYER</t>
  </si>
  <si>
    <t>TRIM</t>
  </si>
  <si>
    <t>CODE / DESCRIPTION / SIZE / QUANTITY</t>
  </si>
  <si>
    <t>BUNGEE CORD</t>
  </si>
  <si>
    <t>MEDIUM WEIGHT BUNGEE CORD 6MM</t>
  </si>
  <si>
    <t>TOP &amp; BTM OPENING, CUFF</t>
  </si>
  <si>
    <t>BLUE</t>
  </si>
  <si>
    <t>BUNGEE STOPPER</t>
  </si>
  <si>
    <r>
      <t>1/2" ROUND BUNGEE STOPPER</t>
    </r>
    <r>
      <rPr>
        <b/>
        <sz val="14"/>
        <color theme="1"/>
        <rFont val="Calibri"/>
        <family val="2"/>
        <scheme val="minor"/>
      </rPr>
      <t xml:space="preserve"> (BRANDED)</t>
    </r>
  </si>
  <si>
    <t xml:space="preserve">MSCHF TRIM WILL SUPPLY THE BRAND TRIM </t>
  </si>
  <si>
    <t>METAL EYELET</t>
  </si>
  <si>
    <r>
      <t>FLAT WIDE METAL EYELET</t>
    </r>
    <r>
      <rPr>
        <b/>
        <sz val="14"/>
        <color theme="1"/>
        <rFont val="Calibri"/>
        <family val="2"/>
        <scheme val="minor"/>
      </rPr>
      <t xml:space="preserve"> (BRANDED)</t>
    </r>
  </si>
  <si>
    <t>ZIPPER</t>
  </si>
  <si>
    <t>#5 COIL ZIPPER</t>
  </si>
  <si>
    <t>PACKABLE POUCH</t>
  </si>
  <si>
    <t xml:space="preserve">ZIPPER PULL </t>
  </si>
  <si>
    <t>#5 REVERSIBLE ZIPPER PULL (SEE IMG)</t>
  </si>
  <si>
    <t>ZIPPER PULL CORD</t>
  </si>
  <si>
    <t>6MM CORD (SEE IMG)</t>
  </si>
  <si>
    <t>DTM COMBO COLOR</t>
  </si>
  <si>
    <t>THREAD</t>
  </si>
  <si>
    <t>CODE / DESCRIPTION</t>
  </si>
  <si>
    <t>STITCHING</t>
  </si>
  <si>
    <t>STANDARD THREAD</t>
  </si>
  <si>
    <t>ALLOVER</t>
  </si>
  <si>
    <t>DTM GROUND</t>
  </si>
  <si>
    <t>LABELING</t>
  </si>
  <si>
    <t>MAIN LABEL</t>
  </si>
  <si>
    <t>TBD / IN DEVELOPMENT</t>
  </si>
  <si>
    <t>MSCHF TRIM WILL SUPPLY THE LABELS</t>
  </si>
  <si>
    <t>SIZE LABEL</t>
  </si>
  <si>
    <t>CARE LABEL</t>
  </si>
  <si>
    <t>GRAPHIC / ARTWORK</t>
  </si>
  <si>
    <t>LOGO</t>
  </si>
  <si>
    <t>PLASTISOL (SEE ARTWORK)</t>
  </si>
  <si>
    <t>DESIGN DETAILS</t>
  </si>
  <si>
    <t>Sketch</t>
  </si>
  <si>
    <t>SPEC</t>
  </si>
  <si>
    <t>POM</t>
  </si>
  <si>
    <t>Measurement description</t>
  </si>
  <si>
    <t>POM / CHINESE</t>
  </si>
  <si>
    <t>tol + / -</t>
  </si>
  <si>
    <t>Mock request</t>
  </si>
  <si>
    <t>Mock msmt factory</t>
  </si>
  <si>
    <t>Mock msmt difference</t>
  </si>
  <si>
    <t>Proto request</t>
  </si>
  <si>
    <t>Proto msmt factory</t>
  </si>
  <si>
    <t>Proto msmt difference</t>
  </si>
  <si>
    <t>2nd msmt request</t>
  </si>
  <si>
    <t>2nd msmt factory</t>
  </si>
  <si>
    <t>2nd msmt difference</t>
  </si>
  <si>
    <t>TOP measures</t>
  </si>
  <si>
    <t>/</t>
  </si>
  <si>
    <t>FINAL     SPEC</t>
  </si>
  <si>
    <t>SWTRS</t>
  </si>
  <si>
    <t>BODY LENGTH</t>
  </si>
  <si>
    <t xml:space="preserve">from top edge to bottom edge </t>
  </si>
  <si>
    <t>DÀI THÂN TỪ ĐỈNH VAI</t>
  </si>
  <si>
    <t>身长高点到边</t>
  </si>
  <si>
    <t>BODY CIRCUMFERENCE</t>
  </si>
  <si>
    <t>at 1" below AH</t>
  </si>
  <si>
    <t>NGUYÊN VÒNG NGỰC DƯỚI NÁCH 1 INCH</t>
  </si>
  <si>
    <t>胸围-1"距夹</t>
  </si>
  <si>
    <t>SWEEP CIRCUMFERENCE</t>
  </si>
  <si>
    <t>along the edge</t>
  </si>
  <si>
    <t>NGUYÊN VÒNG LAI</t>
  </si>
  <si>
    <t>下摆-沿边量</t>
  </si>
  <si>
    <t>TOP &amp; SWEEP HEM HEIGHT</t>
  </si>
  <si>
    <t>TO BẢN LAI VÀ CẠNH TRÊN</t>
  </si>
  <si>
    <t>下摆脚边高</t>
    <phoneticPr fontId="2" type="noConversion"/>
  </si>
  <si>
    <t>TOP &amp; SWEEP HEM BUNGEE HEIGHT</t>
  </si>
  <si>
    <t>exposed</t>
  </si>
  <si>
    <t>TO BẢN ĐƯỜNG LUỒN DÂY</t>
  </si>
  <si>
    <r>
      <t xml:space="preserve">ACROSS FRONT </t>
    </r>
    <r>
      <rPr>
        <sz val="16"/>
        <color rgb="FFFF0000"/>
        <rFont val="Calibri"/>
        <family val="2"/>
        <scheme val="minor"/>
      </rPr>
      <t>- SET-IN</t>
    </r>
  </si>
  <si>
    <t xml:space="preserve">at center of armhole </t>
  </si>
  <si>
    <t>NGANG THÂN TRƯỚC DƯỚI ĐỈNH VAI 6 INCH</t>
  </si>
  <si>
    <t>前宽</t>
  </si>
  <si>
    <r>
      <t xml:space="preserve">ACROSS BACK </t>
    </r>
    <r>
      <rPr>
        <sz val="16"/>
        <color rgb="FFFF0000"/>
        <rFont val="Calibri"/>
        <family val="2"/>
        <scheme val="minor"/>
      </rPr>
      <t>- SET-IN</t>
    </r>
  </si>
  <si>
    <t>NGANG THÂN SAU DƯỚI ĐỈNH VAI 6 INCH</t>
  </si>
  <si>
    <t>后宽</t>
  </si>
  <si>
    <r>
      <t xml:space="preserve">SLEEVE LENGTH </t>
    </r>
    <r>
      <rPr>
        <sz val="16"/>
        <color rgb="FFFF0000"/>
        <rFont val="Calibri"/>
        <family val="2"/>
        <scheme val="minor"/>
      </rPr>
      <t>- LONG SLEEVES</t>
    </r>
  </si>
  <si>
    <t>from AH</t>
  </si>
  <si>
    <t>DÀI TAY ĐO TỪ NÁCH</t>
  </si>
  <si>
    <t>袖长</t>
  </si>
  <si>
    <t xml:space="preserve">ARMHOLE HEIGHT </t>
  </si>
  <si>
    <t>straight</t>
  </si>
  <si>
    <t>NÁCH ĐO THẲNG</t>
  </si>
  <si>
    <t>夹直-从袖肩点到袖笼底直量</t>
    <phoneticPr fontId="2" type="noConversion"/>
  </si>
  <si>
    <t>MUSCLE CIRCUMFERENCE</t>
  </si>
  <si>
    <t>NGUYÊN VÒNG BẮP TAY DƯỚI NÁCH 1 INCH</t>
  </si>
  <si>
    <t>臂围-1"距夹</t>
  </si>
  <si>
    <r>
      <rPr>
        <sz val="16"/>
        <rFont val="Calibri"/>
        <family val="2"/>
        <scheme val="minor"/>
      </rPr>
      <t>CUFF CIRCUMFERENCE</t>
    </r>
    <r>
      <rPr>
        <sz val="16"/>
        <color rgb="FFFF0000"/>
        <rFont val="Calibri"/>
        <family val="2"/>
        <scheme val="minor"/>
      </rPr>
      <t xml:space="preserve"> - LONG SLEEVES</t>
    </r>
  </si>
  <si>
    <t>at edge</t>
  </si>
  <si>
    <t>NGUYÊN VÒNG CỬA TAY</t>
  </si>
  <si>
    <t>袖口围</t>
  </si>
  <si>
    <t>CUFF HEM HEIGHT</t>
  </si>
  <si>
    <t>TO BẢN CỬA TAY</t>
  </si>
  <si>
    <t>袖克夫高</t>
  </si>
  <si>
    <t>CUFF HEM  BUNGEE HEIGHT</t>
  </si>
  <si>
    <t>TO BẢN CỬA TAY TẠI DÂY LUỒN</t>
  </si>
  <si>
    <t>FRONT ZIPPER LENGTH</t>
  </si>
  <si>
    <t>DÀI DÂY KÉO TẠI TRƯỚC</t>
  </si>
  <si>
    <t>FRONT ZIPPER  WIDTH</t>
  </si>
  <si>
    <t>RỘNG DÂY KÉO TẠI TRƯỚC</t>
  </si>
  <si>
    <t>FRONT INTERIOR POUCH HEIGHT</t>
  </si>
  <si>
    <t>CAO TÚI BÊN TRONG TẠI TRƯỚC</t>
  </si>
  <si>
    <t>FRONT INTERIOR POUCH WIDTH</t>
  </si>
  <si>
    <t>RỘNG TÚI BÊN TRONG TẠI TRƯỚC</t>
  </si>
  <si>
    <t>GRAPHIC PLACEMENT</t>
  </si>
  <si>
    <t>front zipper edge</t>
  </si>
  <si>
    <t>VIỊ TRÍ IN TỪ CẠNH DÂY KÉO GIỮA</t>
  </si>
  <si>
    <t>ALPHA GRADING</t>
  </si>
  <si>
    <t>XXS</t>
  </si>
  <si>
    <t>KNITS</t>
  </si>
  <si>
    <t>MER - OANH NGUYỄN: 206</t>
  </si>
  <si>
    <t>THAM KHẢO ÁO MẪU SMS, MÃ HÀNG CR1099C, MÀU GREY MELANGE, SIZE S</t>
  </si>
  <si>
    <t>M21  C5  G2261</t>
  </si>
  <si>
    <t>1099-CR03</t>
  </si>
  <si>
    <t>CROP SWEATSHIRT</t>
  </si>
  <si>
    <t>C5</t>
  </si>
  <si>
    <t>CREWNECK</t>
  </si>
  <si>
    <t>DROP 1</t>
  </si>
  <si>
    <t>FRENCH TERRY 100% ORGANIC COTTON 430GSM</t>
  </si>
  <si>
    <t>100% ORGANIC COTTON</t>
  </si>
  <si>
    <t xml:space="preserve">163CM </t>
  </si>
  <si>
    <t>MCQ</t>
  </si>
  <si>
    <t xml:space="preserve">DARKEST BLACK       </t>
  </si>
  <si>
    <t xml:space="preserve">HYPER LILAC         </t>
  </si>
  <si>
    <t xml:space="preserve">ATOMIC BLASTER      </t>
  </si>
  <si>
    <t xml:space="preserve">OPTIC WHITE         </t>
  </si>
  <si>
    <t>SỐ LƯỢNG CẦN CẤP CHO TEST IN</t>
  </si>
  <si>
    <t>VẢI CHÍNH</t>
  </si>
  <si>
    <t>SINGLE JERSEY 100% ORGANIC COTTON  170GSM</t>
  </si>
  <si>
    <t>VIỀN CỔ</t>
  </si>
  <si>
    <t>RIB 1X1  92%ORGANIC COTTON 2%SPANDEX 450GSM</t>
  </si>
  <si>
    <t>BO CỔ + BO LAI + BO TAY</t>
  </si>
  <si>
    <t>CHỈ 40/2</t>
  </si>
  <si>
    <t>CUỘN</t>
  </si>
  <si>
    <t>NHÃN CHÍNH GẮN CHIP NFC 55MM x 30MM</t>
  </si>
  <si>
    <t>NỀN ĐEN CHỮ TÍM</t>
  </si>
  <si>
    <t>EA0147614C</t>
  </si>
  <si>
    <t>NHÃN SIZE CHỮ 24MM x 12MM</t>
  </si>
  <si>
    <t>NỀN TRẮNG CHỮ ĐEN</t>
  </si>
  <si>
    <t>NHÃN DỆT</t>
  </si>
  <si>
    <t>NHÃN XUẤT XỨ MADE IN VIETNAM 25MM x 12MM</t>
  </si>
  <si>
    <t>NỀN ĐEN CHỮ TRẮNG</t>
  </si>
  <si>
    <t>DÂY RUY BĂNG 76MM x 6MM</t>
  </si>
  <si>
    <t>HYPER LILAC</t>
  </si>
  <si>
    <t>102405R</t>
  </si>
  <si>
    <t>NHÃN THÀNH PHẦN 13CM x 4CM</t>
  </si>
  <si>
    <t>NHÃN SATIN NFC 12CM x 4CM</t>
  </si>
  <si>
    <t>KHÁCH HÀNG CUNG CẤP</t>
  </si>
  <si>
    <t>PHẦN C : PHỤ LIỆU ĐÓNG GÓI</t>
  </si>
  <si>
    <t>THẺ BÀI TREO SWINGTAG</t>
  </si>
  <si>
    <t>102519D</t>
  </si>
  <si>
    <t>GIẤY CHỐNG ẨM 45CM x 50CM</t>
  </si>
  <si>
    <t>LOẠI 1</t>
  </si>
  <si>
    <t>BARCODE STICKER</t>
  </si>
  <si>
    <t>POLYBAG CÓ ĐÁY (SIZE 4) 36CM x 49CM</t>
  </si>
  <si>
    <t>THÙNG CARTON 60CM x 40CM x 40CM</t>
  </si>
  <si>
    <t>TẤM LÓT THÙNG</t>
  </si>
  <si>
    <t>BIG POLYBAG</t>
  </si>
  <si>
    <t>SPECIAL STICKER</t>
  </si>
  <si>
    <t>MCQ38N</t>
  </si>
  <si>
    <t>PHẦN D : IN / THÊU / WASH</t>
  </si>
  <si>
    <t>PHẦN E : HÌNH</t>
  </si>
  <si>
    <t>IN: IN HIGH DENSITY TẠI NGỰC TRÁI NGƯỜI MẶC</t>
  </si>
  <si>
    <t>THÔNG TIN ĐỊNH VỊ HÌNH IN (CM)</t>
  </si>
  <si>
    <t>KÍCH THƯỚC HÌNH IN</t>
  </si>
  <si>
    <t>1.216CM x 6.5CM</t>
  </si>
  <si>
    <t>- ĐỊNH VỊ HÌNH IN:
TỪ GIỮA TRƯỚC QUA TRÁI</t>
  </si>
  <si>
    <t>- ĐỊNH VỊ HÌNH IN:
TỪ ĐỈNH VAI XUỐNG</t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</si>
  <si>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</si>
  <si>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</si>
  <si>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KHÔNG WASH</t>
  </si>
  <si>
    <t>- CÁCH MAY NHƯ ÁO MẪU + TÀI LIỆU ĐÍNH KÈM</t>
  </si>
  <si>
    <t>CHÚ Ý:</t>
  </si>
  <si>
    <t>KHÔNG ỦI LÊN CON HÌNH IN HIGH DENSITY</t>
  </si>
  <si>
    <t>KHÔNG ỦI LÊN CON CHIP NFC</t>
  </si>
  <si>
    <t>3D HEAT TRANSFER PLACEMENT AT LEFT CHEST (CM)</t>
  </si>
  <si>
    <t>3XS</t>
  </si>
  <si>
    <t>2XS</t>
  </si>
  <si>
    <t>2XL</t>
  </si>
  <si>
    <t>3XL</t>
  </si>
  <si>
    <t>FROM HSP TO EDGE OF ARTWORK</t>
  </si>
  <si>
    <t>FROM CF TO EDGE OF ARTWORK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</si>
  <si>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</si>
  <si>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</si>
  <si>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</si>
  <si>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</si>
  <si>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</si>
  <si>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</si>
  <si>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</si>
  <si>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</si>
  <si>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</si>
  <si>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</si>
  <si>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</si>
  <si>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</si>
  <si>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</si>
  <si>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</si>
  <si>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</si>
  <si>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</si>
  <si>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</si>
  <si>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</si>
  <si>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</si>
  <si>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</si>
  <si>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</si>
  <si>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</si>
  <si>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</si>
  <si>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</si>
  <si>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</si>
  <si>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</si>
  <si>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</si>
  <si>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</si>
  <si>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</si>
  <si>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</si>
  <si>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</si>
  <si>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</si>
  <si>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</si>
  <si>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</si>
  <si>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</si>
  <si>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</si>
  <si>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</si>
  <si>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</si>
  <si>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</si>
  <si>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LỚP NGOÀI</t>
  </si>
  <si>
    <t>LỚP TRONG</t>
  </si>
  <si>
    <t>MESH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</si>
</sst>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  <numFmt numFmtId="175" formatCode="mm/dd/yy;@"/>
  </numFmts>
  <fonts count="1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5"/>
      <name val="Calibri"/>
      <family val="2"/>
      <scheme val="minor"/>
    </font>
    <font>
      <b/>
      <sz val="11"/>
      <color theme="1"/>
      <name val="Muli"/>
    </font>
    <font>
      <b/>
      <sz val="15"/>
      <color theme="1"/>
      <name val="Muli"/>
    </font>
    <font>
      <sz val="12"/>
      <color theme="1"/>
      <name val="Calibri"/>
      <family val="2"/>
      <scheme val="minor"/>
    </font>
    <font>
      <b/>
      <sz val="20"/>
      <name val="Muli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20"/>
      <name val="Muli"/>
    </font>
    <font>
      <sz val="10"/>
      <color rgb="FF000000"/>
      <name val="Verdana"/>
      <family val="2"/>
    </font>
    <font>
      <b/>
      <sz val="12"/>
      <name val="Muli"/>
    </font>
    <font>
      <b/>
      <sz val="48"/>
      <name val="Muli"/>
    </font>
    <font>
      <b/>
      <u/>
      <sz val="28"/>
      <name val="Muli"/>
    </font>
    <font>
      <b/>
      <i/>
      <sz val="28"/>
      <name val="Muli"/>
    </font>
    <font>
      <sz val="32"/>
      <name val="Muli"/>
    </font>
    <font>
      <b/>
      <sz val="32"/>
      <name val="Muli"/>
    </font>
    <font>
      <b/>
      <u/>
      <sz val="32"/>
      <name val="Muli"/>
    </font>
    <font>
      <sz val="32"/>
      <name val="Arial"/>
      <family val="2"/>
    </font>
    <font>
      <b/>
      <u/>
      <sz val="12"/>
      <name val="Muli"/>
    </font>
    <font>
      <sz val="11"/>
      <name val="Calibri"/>
      <family val="2"/>
      <scheme val="minor"/>
    </font>
    <font>
      <sz val="11"/>
      <name val="Muli"/>
    </font>
    <font>
      <b/>
      <sz val="45"/>
      <name val="Muli"/>
    </font>
    <font>
      <b/>
      <sz val="35"/>
      <name val="Muli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color theme="0" tint="-0.499984740745262"/>
      <name val="Calibri (Body)"/>
    </font>
    <font>
      <sz val="14"/>
      <color theme="0" tint="-0.499984740745262"/>
      <name val="Calibri (Body)"/>
    </font>
    <font>
      <sz val="14"/>
      <color rgb="FFFF0000"/>
      <name val="Calibri"/>
      <family val="2"/>
      <scheme val="minor"/>
    </font>
    <font>
      <sz val="14"/>
      <color rgb="FFFF0000"/>
      <name val="Calibri (Body)"/>
    </font>
    <font>
      <b/>
      <i/>
      <sz val="14"/>
      <color rgb="FFFF0000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41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D7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1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3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0" applyNumberFormat="0" applyProtection="0">
      <alignment horizontal="right" vertical="center"/>
    </xf>
    <xf numFmtId="0" fontId="5" fillId="8" borderId="20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1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2" fillId="0" borderId="0"/>
    <xf numFmtId="0" fontId="1" fillId="0" borderId="0"/>
    <xf numFmtId="0" fontId="75" fillId="0" borderId="0"/>
    <xf numFmtId="0" fontId="77" fillId="18" borderId="0" applyNumberFormat="0" applyBorder="0" applyAlignment="0" applyProtection="0"/>
    <xf numFmtId="0" fontId="78" fillId="0" borderId="0"/>
    <xf numFmtId="0" fontId="79" fillId="0" borderId="0"/>
    <xf numFmtId="0" fontId="81" fillId="0" borderId="0"/>
    <xf numFmtId="0" fontId="75" fillId="0" borderId="0"/>
    <xf numFmtId="0" fontId="16" fillId="0" borderId="0"/>
    <xf numFmtId="0" fontId="13" fillId="0" borderId="0"/>
    <xf numFmtId="0" fontId="1" fillId="0" borderId="0"/>
  </cellStyleXfs>
  <cellXfs count="708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26" fillId="4" borderId="1" xfId="0" quotePrefix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vertical="center"/>
    </xf>
    <xf numFmtId="0" fontId="26" fillId="2" borderId="2" xfId="0" applyFont="1" applyFill="1" applyBorder="1" applyAlignment="1">
      <alignment horizontal="center" vertical="center"/>
    </xf>
    <xf numFmtId="3" fontId="26" fillId="2" borderId="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 vertical="center" wrapText="1"/>
    </xf>
    <xf numFmtId="0" fontId="26" fillId="0" borderId="1" xfId="0" applyFont="1" applyBorder="1" applyAlignment="1">
      <alignment horizontal="right" vertical="center"/>
    </xf>
    <xf numFmtId="0" fontId="35" fillId="2" borderId="1" xfId="0" applyFont="1" applyFill="1" applyBorder="1" applyAlignment="1">
      <alignment horizontal="right" vertical="center"/>
    </xf>
    <xf numFmtId="0" fontId="26" fillId="2" borderId="1" xfId="0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3" xfId="0" applyNumberFormat="1" applyFont="1" applyFill="1" applyBorder="1" applyAlignment="1">
      <alignment horizontal="center" vertical="center"/>
    </xf>
    <xf numFmtId="0" fontId="39" fillId="2" borderId="3" xfId="0" applyFont="1" applyFill="1" applyBorder="1" applyAlignment="1">
      <alignment horizontal="center" vertical="center" wrapText="1"/>
    </xf>
    <xf numFmtId="0" fontId="39" fillId="2" borderId="3" xfId="0" applyFont="1" applyFill="1" applyBorder="1" applyAlignment="1">
      <alignment horizontal="center" vertical="center"/>
    </xf>
    <xf numFmtId="0" fontId="39" fillId="2" borderId="3" xfId="0" applyFont="1" applyFill="1" applyBorder="1" applyAlignment="1">
      <alignment horizontal="right" vertical="center"/>
    </xf>
    <xf numFmtId="3" fontId="38" fillId="2" borderId="3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3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3" xfId="0" quotePrefix="1" applyFont="1" applyFill="1" applyBorder="1" applyAlignment="1">
      <alignment horizontal="left" vertical="center"/>
    </xf>
    <xf numFmtId="0" fontId="32" fillId="2" borderId="13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38" xfId="0" applyFont="1" applyBorder="1"/>
    <xf numFmtId="0" fontId="27" fillId="0" borderId="22" xfId="0" applyFont="1" applyBorder="1"/>
    <xf numFmtId="0" fontId="27" fillId="0" borderId="23" xfId="0" applyFont="1" applyBorder="1"/>
    <xf numFmtId="0" fontId="27" fillId="0" borderId="24" xfId="0" applyFont="1" applyBorder="1"/>
    <xf numFmtId="0" fontId="2" fillId="0" borderId="0" xfId="0" applyFont="1"/>
    <xf numFmtId="0" fontId="47" fillId="0" borderId="0" xfId="0" applyFont="1"/>
    <xf numFmtId="0" fontId="27" fillId="0" borderId="25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2" xfId="0" applyFont="1" applyBorder="1"/>
    <xf numFmtId="0" fontId="49" fillId="0" borderId="33" xfId="0" applyFont="1" applyBorder="1"/>
    <xf numFmtId="0" fontId="48" fillId="0" borderId="33" xfId="0" applyFont="1" applyBorder="1" applyAlignment="1">
      <alignment horizontal="center"/>
    </xf>
    <xf numFmtId="0" fontId="48" fillId="0" borderId="34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5" xfId="0" applyFont="1" applyBorder="1"/>
    <xf numFmtId="0" fontId="42" fillId="0" borderId="36" xfId="0" applyFont="1" applyBorder="1"/>
    <xf numFmtId="0" fontId="42" fillId="0" borderId="36" xfId="0" applyFont="1" applyBorder="1" applyAlignment="1">
      <alignment horizontal="center"/>
    </xf>
    <xf numFmtId="165" fontId="42" fillId="0" borderId="37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38" xfId="0" applyNumberFormat="1" applyFont="1" applyBorder="1" applyAlignment="1">
      <alignment horizontal="center"/>
    </xf>
    <xf numFmtId="165" fontId="42" fillId="0" borderId="39" xfId="0" applyNumberFormat="1" applyFont="1" applyBorder="1" applyAlignment="1">
      <alignment horizontal="center" wrapText="1"/>
    </xf>
    <xf numFmtId="165" fontId="42" fillId="0" borderId="39" xfId="0" applyNumberFormat="1" applyFont="1" applyBorder="1" applyAlignment="1">
      <alignment horizontal="center"/>
    </xf>
    <xf numFmtId="165" fontId="42" fillId="0" borderId="37" xfId="0" applyNumberFormat="1" applyFont="1" applyBorder="1" applyAlignment="1">
      <alignment horizontal="center"/>
    </xf>
    <xf numFmtId="0" fontId="42" fillId="0" borderId="40" xfId="0" applyFont="1" applyBorder="1"/>
    <xf numFmtId="165" fontId="42" fillId="0" borderId="40" xfId="0" applyNumberFormat="1" applyFont="1" applyBorder="1" applyAlignment="1">
      <alignment horizontal="center"/>
    </xf>
    <xf numFmtId="165" fontId="42" fillId="0" borderId="41" xfId="0" applyNumberFormat="1" applyFont="1" applyBorder="1" applyAlignment="1">
      <alignment horizontal="center"/>
    </xf>
    <xf numFmtId="0" fontId="25" fillId="2" borderId="42" xfId="0" applyFont="1" applyFill="1" applyBorder="1" applyAlignment="1">
      <alignment vertical="center"/>
    </xf>
    <xf numFmtId="0" fontId="26" fillId="2" borderId="42" xfId="0" applyFont="1" applyFill="1" applyBorder="1" applyAlignment="1">
      <alignment vertical="center" wrapText="1"/>
    </xf>
    <xf numFmtId="0" fontId="25" fillId="2" borderId="43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3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3" xfId="2" applyFont="1" applyFill="1" applyBorder="1" applyAlignment="1">
      <alignment horizontal="center" vertical="center"/>
    </xf>
    <xf numFmtId="0" fontId="56" fillId="0" borderId="13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3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9" xfId="0" applyFont="1" applyFill="1" applyBorder="1" applyAlignment="1">
      <alignment horizontal="center" vertical="center" wrapText="1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center" vertical="center"/>
    </xf>
    <xf numFmtId="1" fontId="36" fillId="11" borderId="0" xfId="0" applyNumberFormat="1" applyFont="1" applyFill="1" applyAlignment="1">
      <alignment horizontal="right" vertical="center"/>
    </xf>
    <xf numFmtId="1" fontId="36" fillId="11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1" xfId="0" applyFont="1" applyFill="1" applyBorder="1" applyAlignment="1">
      <alignment horizontal="left" vertical="center"/>
    </xf>
    <xf numFmtId="0" fontId="62" fillId="2" borderId="1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3" borderId="2" xfId="0" applyFont="1" applyFill="1" applyBorder="1" applyAlignment="1">
      <alignment horizontal="center" vertical="center"/>
    </xf>
    <xf numFmtId="1" fontId="26" fillId="13" borderId="2" xfId="0" applyNumberFormat="1" applyFont="1" applyFill="1" applyBorder="1" applyAlignment="1">
      <alignment vertical="center"/>
    </xf>
    <xf numFmtId="1" fontId="26" fillId="13" borderId="2" xfId="0" applyNumberFormat="1" applyFont="1" applyFill="1" applyBorder="1" applyAlignment="1">
      <alignment horizontal="center" vertical="center"/>
    </xf>
    <xf numFmtId="0" fontId="26" fillId="5" borderId="2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3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26" fillId="3" borderId="0" xfId="0" applyFont="1" applyFill="1" applyAlignment="1">
      <alignment vertical="center" wrapText="1"/>
    </xf>
    <xf numFmtId="2" fontId="31" fillId="2" borderId="13" xfId="0" applyNumberFormat="1" applyFont="1" applyFill="1" applyBorder="1" applyAlignment="1">
      <alignment horizontal="center" vertical="center" wrapText="1"/>
    </xf>
    <xf numFmtId="165" fontId="31" fillId="2" borderId="13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3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2" fillId="3" borderId="0" xfId="0" applyFont="1" applyFill="1" applyAlignment="1">
      <alignment vertical="center"/>
    </xf>
    <xf numFmtId="1" fontId="31" fillId="2" borderId="13" xfId="0" applyNumberFormat="1" applyFont="1" applyFill="1" applyBorder="1" applyAlignment="1">
      <alignment horizontal="center" vertical="center"/>
    </xf>
    <xf numFmtId="173" fontId="31" fillId="2" borderId="13" xfId="0" applyNumberFormat="1" applyFont="1" applyFill="1" applyBorder="1" applyAlignment="1">
      <alignment horizontal="center" vertical="center"/>
    </xf>
    <xf numFmtId="165" fontId="31" fillId="2" borderId="13" xfId="0" applyNumberFormat="1" applyFont="1" applyFill="1" applyBorder="1" applyAlignment="1">
      <alignment horizontal="center" vertical="center"/>
    </xf>
    <xf numFmtId="1" fontId="31" fillId="0" borderId="13" xfId="1" applyNumberFormat="1" applyFont="1" applyBorder="1" applyAlignment="1">
      <alignment horizontal="center" vertical="center" wrapText="1"/>
    </xf>
    <xf numFmtId="1" fontId="31" fillId="0" borderId="13" xfId="0" applyNumberFormat="1" applyFont="1" applyBorder="1" applyAlignment="1">
      <alignment horizontal="center" vertical="center" wrapText="1"/>
    </xf>
    <xf numFmtId="165" fontId="31" fillId="0" borderId="13" xfId="0" applyNumberFormat="1" applyFont="1" applyBorder="1" applyAlignment="1">
      <alignment horizontal="center" vertical="center" wrapText="1"/>
    </xf>
    <xf numFmtId="1" fontId="32" fillId="0" borderId="13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7" fillId="0" borderId="13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57" fillId="0" borderId="13" xfId="2" applyNumberFormat="1" applyFont="1" applyBorder="1" applyAlignment="1">
      <alignment horizontal="center" vertical="center" wrapText="1"/>
    </xf>
    <xf numFmtId="1" fontId="63" fillId="0" borderId="13" xfId="0" applyNumberFormat="1" applyFont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/>
    </xf>
    <xf numFmtId="2" fontId="31" fillId="0" borderId="13" xfId="0" applyNumberFormat="1" applyFont="1" applyBorder="1" applyAlignment="1">
      <alignment horizontal="center" vertical="center" wrapText="1"/>
    </xf>
    <xf numFmtId="0" fontId="69" fillId="2" borderId="13" xfId="0" applyFont="1" applyFill="1" applyBorder="1" applyAlignment="1">
      <alignment horizontal="center" vertical="center" wrapText="1"/>
    </xf>
    <xf numFmtId="0" fontId="58" fillId="12" borderId="13" xfId="2" applyFont="1" applyFill="1" applyBorder="1" applyAlignment="1">
      <alignment horizontal="center" vertical="center" wrapText="1"/>
    </xf>
    <xf numFmtId="0" fontId="46" fillId="0" borderId="0" xfId="0" applyFont="1"/>
    <xf numFmtId="0" fontId="71" fillId="0" borderId="0" xfId="0" applyFont="1" applyAlignment="1">
      <alignment vertical="center"/>
    </xf>
    <xf numFmtId="0" fontId="70" fillId="15" borderId="13" xfId="0" applyFont="1" applyFill="1" applyBorder="1" applyAlignment="1">
      <alignment horizontal="center" vertical="center"/>
    </xf>
    <xf numFmtId="0" fontId="70" fillId="0" borderId="13" xfId="0" applyFont="1" applyBorder="1" applyAlignment="1">
      <alignment horizontal="center" vertical="center"/>
    </xf>
    <xf numFmtId="0" fontId="46" fillId="0" borderId="13" xfId="0" applyFont="1" applyBorder="1" applyAlignment="1">
      <alignment horizontal="center" vertical="center" wrapText="1"/>
    </xf>
    <xf numFmtId="0" fontId="46" fillId="0" borderId="13" xfId="0" applyFont="1" applyBorder="1" applyAlignment="1">
      <alignment horizontal="center" vertical="center"/>
    </xf>
    <xf numFmtId="0" fontId="46" fillId="16" borderId="13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" fontId="74" fillId="2" borderId="13" xfId="0" applyNumberFormat="1" applyFont="1" applyFill="1" applyBorder="1" applyAlignment="1">
      <alignment horizontal="center" vertical="center" wrapText="1"/>
    </xf>
    <xf numFmtId="1" fontId="74" fillId="2" borderId="13" xfId="0" applyNumberFormat="1" applyFont="1" applyFill="1" applyBorder="1" applyAlignment="1">
      <alignment vertical="center" wrapText="1"/>
    </xf>
    <xf numFmtId="1" fontId="74" fillId="0" borderId="13" xfId="0" applyNumberFormat="1" applyFont="1" applyBorder="1" applyAlignment="1">
      <alignment horizontal="center" vertical="center" wrapText="1"/>
    </xf>
    <xf numFmtId="174" fontId="27" fillId="0" borderId="9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0" fontId="76" fillId="17" borderId="0" xfId="0" applyFont="1" applyFill="1" applyAlignment="1">
      <alignment horizontal="center"/>
    </xf>
    <xf numFmtId="0" fontId="76" fillId="0" borderId="0" xfId="0" applyFont="1" applyAlignment="1">
      <alignment horizontal="center"/>
    </xf>
    <xf numFmtId="1" fontId="31" fillId="0" borderId="13" xfId="1" applyNumberFormat="1" applyFont="1" applyBorder="1" applyAlignment="1">
      <alignment vertical="center" wrapText="1"/>
    </xf>
    <xf numFmtId="1" fontId="32" fillId="2" borderId="13" xfId="0" applyNumberFormat="1" applyFont="1" applyFill="1" applyBorder="1" applyAlignment="1">
      <alignment vertical="center" wrapText="1"/>
    </xf>
    <xf numFmtId="1" fontId="64" fillId="0" borderId="13" xfId="1" applyNumberFormat="1" applyFont="1" applyBorder="1" applyAlignment="1">
      <alignment vertical="center" wrapText="1"/>
    </xf>
    <xf numFmtId="0" fontId="32" fillId="2" borderId="13" xfId="0" applyFont="1" applyFill="1" applyBorder="1" applyAlignment="1">
      <alignment vertical="center" wrapText="1"/>
    </xf>
    <xf numFmtId="0" fontId="55" fillId="5" borderId="14" xfId="2" applyFont="1" applyFill="1" applyBorder="1" applyAlignment="1">
      <alignment horizontal="center" vertical="center" wrapText="1"/>
    </xf>
    <xf numFmtId="0" fontId="29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/>
    </xf>
    <xf numFmtId="1" fontId="31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165" fontId="31" fillId="0" borderId="0" xfId="0" applyNumberFormat="1" applyFont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1" fontId="55" fillId="5" borderId="13" xfId="2" applyNumberFormat="1" applyFont="1" applyFill="1" applyBorder="1" applyAlignment="1">
      <alignment horizontal="center" vertical="center" wrapText="1"/>
    </xf>
    <xf numFmtId="1" fontId="32" fillId="0" borderId="13" xfId="1" applyNumberFormat="1" applyFont="1" applyBorder="1" applyAlignment="1">
      <alignment horizontal="center" vertical="center" wrapText="1"/>
    </xf>
    <xf numFmtId="0" fontId="83" fillId="2" borderId="0" xfId="0" quotePrefix="1" applyFont="1" applyFill="1" applyAlignment="1">
      <alignment horizontal="left" vertical="center"/>
    </xf>
    <xf numFmtId="0" fontId="31" fillId="0" borderId="0" xfId="0" applyFont="1" applyAlignment="1">
      <alignment horizontal="center" vertical="center" wrapText="1"/>
    </xf>
    <xf numFmtId="1" fontId="31" fillId="2" borderId="0" xfId="0" applyNumberFormat="1" applyFont="1" applyFill="1" applyAlignment="1">
      <alignment horizontal="center" vertical="center"/>
    </xf>
    <xf numFmtId="173" fontId="31" fillId="2" borderId="0" xfId="0" applyNumberFormat="1" applyFont="1" applyFill="1" applyAlignment="1">
      <alignment horizontal="center" vertical="center"/>
    </xf>
    <xf numFmtId="165" fontId="31" fillId="2" borderId="0" xfId="0" applyNumberFormat="1" applyFont="1" applyFill="1" applyAlignment="1">
      <alignment horizontal="center" vertical="center"/>
    </xf>
    <xf numFmtId="0" fontId="56" fillId="2" borderId="0" xfId="0" applyFont="1" applyFill="1" applyAlignment="1">
      <alignment vertical="center"/>
    </xf>
    <xf numFmtId="0" fontId="84" fillId="3" borderId="0" xfId="0" applyFont="1" applyFill="1" applyAlignment="1">
      <alignment vertical="center"/>
    </xf>
    <xf numFmtId="0" fontId="55" fillId="3" borderId="0" xfId="0" applyFont="1" applyFill="1" applyAlignment="1">
      <alignment vertical="center"/>
    </xf>
    <xf numFmtId="0" fontId="56" fillId="3" borderId="0" xfId="0" applyFont="1" applyFill="1" applyAlignment="1">
      <alignment vertical="center"/>
    </xf>
    <xf numFmtId="0" fontId="55" fillId="3" borderId="0" xfId="0" applyFont="1" applyFill="1" applyAlignment="1">
      <alignment vertical="center" wrapText="1"/>
    </xf>
    <xf numFmtId="0" fontId="55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horizontal="left" vertical="center" wrapText="1"/>
    </xf>
    <xf numFmtId="0" fontId="73" fillId="5" borderId="7" xfId="0" applyFont="1" applyFill="1" applyBorder="1" applyAlignment="1">
      <alignment horizontal="center" vertical="center"/>
    </xf>
    <xf numFmtId="0" fontId="73" fillId="5" borderId="8" xfId="0" applyFont="1" applyFill="1" applyBorder="1" applyAlignment="1">
      <alignment horizontal="center" vertical="center"/>
    </xf>
    <xf numFmtId="0" fontId="73" fillId="5" borderId="7" xfId="0" applyFont="1" applyFill="1" applyBorder="1" applyAlignment="1">
      <alignment horizontal="center" vertical="center" wrapText="1"/>
    </xf>
    <xf numFmtId="0" fontId="80" fillId="2" borderId="0" xfId="0" applyFont="1" applyFill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 wrapText="1"/>
    </xf>
    <xf numFmtId="1" fontId="29" fillId="2" borderId="13" xfId="0" applyNumberFormat="1" applyFont="1" applyFill="1" applyBorder="1" applyAlignment="1">
      <alignment horizontal="center" vertical="center" wrapText="1"/>
    </xf>
    <xf numFmtId="1" fontId="29" fillId="2" borderId="13" xfId="0" applyNumberFormat="1" applyFont="1" applyFill="1" applyBorder="1" applyAlignment="1">
      <alignment horizontal="center" vertical="center"/>
    </xf>
    <xf numFmtId="173" fontId="29" fillId="2" borderId="9" xfId="0" applyNumberFormat="1" applyFont="1" applyFill="1" applyBorder="1" applyAlignment="1">
      <alignment horizontal="center" vertical="center"/>
    </xf>
    <xf numFmtId="165" fontId="29" fillId="2" borderId="13" xfId="0" applyNumberFormat="1" applyFont="1" applyFill="1" applyBorder="1" applyAlignment="1">
      <alignment horizontal="center" vertical="center"/>
    </xf>
    <xf numFmtId="0" fontId="26" fillId="2" borderId="13" xfId="0" applyFont="1" applyFill="1" applyBorder="1" applyAlignment="1">
      <alignment horizontal="center" vertical="center"/>
    </xf>
    <xf numFmtId="0" fontId="73" fillId="5" borderId="19" xfId="0" applyFont="1" applyFill="1" applyBorder="1" applyAlignment="1">
      <alignment horizontal="center" vertical="center" wrapText="1"/>
    </xf>
    <xf numFmtId="0" fontId="73" fillId="5" borderId="17" xfId="0" applyFont="1" applyFill="1" applyBorder="1" applyAlignment="1">
      <alignment horizontal="center" vertical="center" wrapText="1"/>
    </xf>
    <xf numFmtId="0" fontId="73" fillId="5" borderId="19" xfId="0" applyFont="1" applyFill="1" applyBorder="1" applyAlignment="1">
      <alignment horizontal="center" vertical="center"/>
    </xf>
    <xf numFmtId="2" fontId="29" fillId="2" borderId="13" xfId="0" applyNumberFormat="1" applyFont="1" applyFill="1" applyBorder="1" applyAlignment="1">
      <alignment horizontal="center" vertical="center" wrapText="1"/>
    </xf>
    <xf numFmtId="165" fontId="29" fillId="2" borderId="13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9" fillId="0" borderId="13" xfId="1" applyNumberFormat="1" applyFont="1" applyBorder="1" applyAlignment="1">
      <alignment horizontal="center" vertical="center" wrapText="1"/>
    </xf>
    <xf numFmtId="1" fontId="26" fillId="0" borderId="13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6" fillId="0" borderId="13" xfId="0" applyFont="1" applyBorder="1" applyAlignment="1">
      <alignment horizontal="center" vertical="center"/>
    </xf>
    <xf numFmtId="1" fontId="29" fillId="2" borderId="14" xfId="0" applyNumberFormat="1" applyFont="1" applyFill="1" applyBorder="1" applyAlignment="1">
      <alignment vertical="center" wrapText="1"/>
    </xf>
    <xf numFmtId="12" fontId="26" fillId="0" borderId="13" xfId="0" quotePrefix="1" applyNumberFormat="1" applyFont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left"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1" fontId="26" fillId="2" borderId="13" xfId="0" applyNumberFormat="1" applyFont="1" applyFill="1" applyBorder="1" applyAlignment="1">
      <alignment horizontal="center" vertical="center"/>
    </xf>
    <xf numFmtId="0" fontId="86" fillId="2" borderId="0" xfId="0" applyFont="1" applyFill="1" applyAlignment="1">
      <alignment horizontal="center" vertical="center" wrapText="1"/>
    </xf>
    <xf numFmtId="1" fontId="86" fillId="0" borderId="0" xfId="1" applyNumberFormat="1" applyFont="1" applyAlignment="1">
      <alignment horizontal="center" vertical="center" wrapText="1"/>
    </xf>
    <xf numFmtId="1" fontId="86" fillId="0" borderId="0" xfId="0" applyNumberFormat="1" applyFont="1" applyAlignment="1">
      <alignment horizontal="center" vertical="center" wrapText="1"/>
    </xf>
    <xf numFmtId="2" fontId="86" fillId="0" borderId="0" xfId="0" applyNumberFormat="1" applyFont="1" applyAlignment="1">
      <alignment horizontal="center" vertical="center" wrapText="1"/>
    </xf>
    <xf numFmtId="165" fontId="86" fillId="0" borderId="0" xfId="0" applyNumberFormat="1" applyFont="1" applyAlignment="1">
      <alignment horizontal="center" vertical="center" wrapText="1"/>
    </xf>
    <xf numFmtId="1" fontId="87" fillId="0" borderId="0" xfId="0" applyNumberFormat="1" applyFont="1" applyAlignment="1">
      <alignment horizontal="center" vertical="center" wrapText="1"/>
    </xf>
    <xf numFmtId="1" fontId="87" fillId="0" borderId="0" xfId="1" applyNumberFormat="1" applyFont="1" applyAlignment="1">
      <alignment horizontal="center" vertical="center" wrapText="1"/>
    </xf>
    <xf numFmtId="0" fontId="86" fillId="0" borderId="0" xfId="0" applyFont="1" applyAlignment="1">
      <alignment vertical="center" wrapText="1"/>
    </xf>
    <xf numFmtId="0" fontId="86" fillId="2" borderId="0" xfId="0" applyFont="1" applyFill="1" applyAlignment="1">
      <alignment horizontal="left" vertical="center"/>
    </xf>
    <xf numFmtId="0" fontId="88" fillId="2" borderId="0" xfId="0" applyFont="1" applyFill="1" applyAlignment="1">
      <alignment horizontal="left" vertical="center"/>
    </xf>
    <xf numFmtId="0" fontId="87" fillId="2" borderId="0" xfId="0" applyFont="1" applyFill="1" applyAlignment="1">
      <alignment vertical="center"/>
    </xf>
    <xf numFmtId="0" fontId="86" fillId="2" borderId="0" xfId="0" applyFont="1" applyFill="1" applyAlignment="1">
      <alignment vertical="center"/>
    </xf>
    <xf numFmtId="0" fontId="86" fillId="2" borderId="0" xfId="0" applyFont="1" applyFill="1" applyAlignment="1">
      <alignment vertical="center" wrapText="1"/>
    </xf>
    <xf numFmtId="0" fontId="87" fillId="2" borderId="0" xfId="0" applyFont="1" applyFill="1" applyAlignment="1">
      <alignment vertical="center" wrapText="1"/>
    </xf>
    <xf numFmtId="0" fontId="87" fillId="2" borderId="0" xfId="0" applyFont="1" applyFill="1" applyAlignment="1">
      <alignment horizontal="left" vertical="center"/>
    </xf>
    <xf numFmtId="0" fontId="87" fillId="0" borderId="0" xfId="0" applyFont="1" applyAlignment="1">
      <alignment vertical="center"/>
    </xf>
    <xf numFmtId="0" fontId="86" fillId="2" borderId="0" xfId="0" applyFont="1" applyFill="1" applyAlignment="1">
      <alignment horizontal="center" vertical="center"/>
    </xf>
    <xf numFmtId="166" fontId="86" fillId="2" borderId="0" xfId="0" applyNumberFormat="1" applyFont="1" applyFill="1" applyAlignment="1">
      <alignment horizontal="center" vertical="center"/>
    </xf>
    <xf numFmtId="0" fontId="86" fillId="2" borderId="0" xfId="0" quotePrefix="1" applyFont="1" applyFill="1" applyAlignment="1">
      <alignment horizontal="left" vertical="center"/>
    </xf>
    <xf numFmtId="0" fontId="87" fillId="4" borderId="1" xfId="0" quotePrefix="1" applyFont="1" applyFill="1" applyBorder="1" applyAlignment="1">
      <alignment horizontal="center" vertical="center"/>
    </xf>
    <xf numFmtId="0" fontId="87" fillId="0" borderId="2" xfId="0" applyFont="1" applyBorder="1" applyAlignment="1">
      <alignment horizontal="left" vertical="center"/>
    </xf>
    <xf numFmtId="0" fontId="87" fillId="2" borderId="2" xfId="0" applyFont="1" applyFill="1" applyBorder="1" applyAlignment="1">
      <alignment vertical="center"/>
    </xf>
    <xf numFmtId="0" fontId="87" fillId="2" borderId="2" xfId="0" applyFont="1" applyFill="1" applyBorder="1" applyAlignment="1">
      <alignment horizontal="center" vertical="center"/>
    </xf>
    <xf numFmtId="3" fontId="87" fillId="2" borderId="2" xfId="0" applyNumberFormat="1" applyFont="1" applyFill="1" applyBorder="1" applyAlignment="1">
      <alignment horizontal="center" vertical="center"/>
    </xf>
    <xf numFmtId="0" fontId="89" fillId="17" borderId="0" xfId="0" applyFont="1" applyFill="1" applyAlignment="1">
      <alignment horizontal="center"/>
    </xf>
    <xf numFmtId="0" fontId="87" fillId="0" borderId="2" xfId="0" applyFont="1" applyBorder="1" applyAlignment="1">
      <alignment vertical="center"/>
    </xf>
    <xf numFmtId="0" fontId="87" fillId="13" borderId="2" xfId="0" applyFont="1" applyFill="1" applyBorder="1" applyAlignment="1">
      <alignment horizontal="center" vertical="center"/>
    </xf>
    <xf numFmtId="1" fontId="87" fillId="13" borderId="2" xfId="0" applyNumberFormat="1" applyFont="1" applyFill="1" applyBorder="1" applyAlignment="1">
      <alignment vertical="center"/>
    </xf>
    <xf numFmtId="1" fontId="87" fillId="13" borderId="2" xfId="0" applyNumberFormat="1" applyFont="1" applyFill="1" applyBorder="1" applyAlignment="1">
      <alignment horizontal="center" vertical="center"/>
    </xf>
    <xf numFmtId="0" fontId="87" fillId="20" borderId="0" xfId="0" applyFont="1" applyFill="1" applyAlignment="1">
      <alignment horizontal="center" vertical="center"/>
    </xf>
    <xf numFmtId="1" fontId="87" fillId="20" borderId="0" xfId="0" applyNumberFormat="1" applyFont="1" applyFill="1" applyAlignment="1">
      <alignment vertical="center"/>
    </xf>
    <xf numFmtId="1" fontId="87" fillId="20" borderId="0" xfId="0" applyNumberFormat="1" applyFont="1" applyFill="1" applyAlignment="1">
      <alignment horizontal="center" vertical="center"/>
    </xf>
    <xf numFmtId="1" fontId="87" fillId="20" borderId="1" xfId="0" applyNumberFormat="1" applyFont="1" applyFill="1" applyBorder="1" applyAlignment="1">
      <alignment horizontal="center" vertical="center"/>
    </xf>
    <xf numFmtId="0" fontId="87" fillId="19" borderId="0" xfId="0" applyFont="1" applyFill="1" applyAlignment="1">
      <alignment vertical="center"/>
    </xf>
    <xf numFmtId="0" fontId="87" fillId="20" borderId="0" xfId="0" applyFont="1" applyFill="1" applyAlignment="1">
      <alignment horizontal="left" vertical="center"/>
    </xf>
    <xf numFmtId="0" fontId="87" fillId="3" borderId="0" xfId="0" applyFont="1" applyFill="1" applyAlignment="1">
      <alignment horizontal="left" vertical="center"/>
    </xf>
    <xf numFmtId="0" fontId="87" fillId="2" borderId="0" xfId="0" applyFont="1" applyFill="1" applyAlignment="1">
      <alignment horizontal="right" vertical="center"/>
    </xf>
    <xf numFmtId="0" fontId="87" fillId="2" borderId="0" xfId="0" applyFont="1" applyFill="1" applyAlignment="1">
      <alignment horizontal="right" vertical="center" wrapText="1"/>
    </xf>
    <xf numFmtId="0" fontId="87" fillId="0" borderId="1" xfId="0" applyFont="1" applyBorder="1" applyAlignment="1">
      <alignment horizontal="right" vertical="center"/>
    </xf>
    <xf numFmtId="0" fontId="87" fillId="2" borderId="1" xfId="0" applyFont="1" applyFill="1" applyBorder="1" applyAlignment="1">
      <alignment horizontal="right" vertical="center"/>
    </xf>
    <xf numFmtId="0" fontId="87" fillId="11" borderId="0" xfId="0" applyFont="1" applyFill="1" applyAlignment="1">
      <alignment horizontal="left" vertical="center"/>
    </xf>
    <xf numFmtId="0" fontId="87" fillId="11" borderId="0" xfId="0" applyFont="1" applyFill="1" applyAlignment="1">
      <alignment horizontal="center" vertical="center"/>
    </xf>
    <xf numFmtId="1" fontId="87" fillId="11" borderId="0" xfId="0" applyNumberFormat="1" applyFont="1" applyFill="1" applyAlignment="1">
      <alignment horizontal="right" vertical="center"/>
    </xf>
    <xf numFmtId="1" fontId="87" fillId="11" borderId="0" xfId="0" applyNumberFormat="1" applyFont="1" applyFill="1" applyAlignment="1">
      <alignment horizontal="center" vertical="center"/>
    </xf>
    <xf numFmtId="0" fontId="87" fillId="2" borderId="1" xfId="0" applyFont="1" applyFill="1" applyBorder="1" applyAlignment="1">
      <alignment horizontal="center" vertical="center"/>
    </xf>
    <xf numFmtId="0" fontId="87" fillId="3" borderId="0" xfId="0" applyFont="1" applyFill="1" applyAlignment="1">
      <alignment vertical="center"/>
    </xf>
    <xf numFmtId="0" fontId="87" fillId="2" borderId="1" xfId="0" applyFont="1" applyFill="1" applyBorder="1" applyAlignment="1">
      <alignment horizontal="left" vertical="center"/>
    </xf>
    <xf numFmtId="0" fontId="87" fillId="0" borderId="0" xfId="68" applyFont="1" applyAlignment="1">
      <alignment horizontal="center"/>
    </xf>
    <xf numFmtId="3" fontId="90" fillId="2" borderId="3" xfId="0" applyNumberFormat="1" applyFont="1" applyFill="1" applyBorder="1" applyAlignment="1">
      <alignment vertical="center"/>
    </xf>
    <xf numFmtId="3" fontId="90" fillId="2" borderId="3" xfId="0" applyNumberFormat="1" applyFont="1" applyFill="1" applyBorder="1" applyAlignment="1">
      <alignment horizontal="center" vertical="center"/>
    </xf>
    <xf numFmtId="0" fontId="91" fillId="0" borderId="0" xfId="0" applyFont="1"/>
    <xf numFmtId="0" fontId="48" fillId="2" borderId="0" xfId="0" applyFont="1" applyFill="1" applyAlignment="1">
      <alignment vertical="center"/>
    </xf>
    <xf numFmtId="3" fontId="82" fillId="2" borderId="0" xfId="0" applyNumberFormat="1" applyFont="1" applyFill="1" applyAlignment="1">
      <alignment horizontal="center" vertical="center"/>
    </xf>
    <xf numFmtId="1" fontId="26" fillId="0" borderId="13" xfId="0" applyNumberFormat="1" applyFont="1" applyBorder="1" applyAlignment="1">
      <alignment horizontal="center" vertical="center" wrapText="1"/>
    </xf>
    <xf numFmtId="1" fontId="87" fillId="2" borderId="0" xfId="0" applyNumberFormat="1" applyFont="1" applyFill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92" fillId="0" borderId="0" xfId="0" applyFont="1" applyAlignment="1">
      <alignment vertical="center" wrapText="1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88" fillId="2" borderId="11" xfId="0" applyFont="1" applyFill="1" applyBorder="1" applyAlignment="1">
      <alignment horizontal="left" vertical="center"/>
    </xf>
    <xf numFmtId="0" fontId="87" fillId="0" borderId="11" xfId="0" applyFont="1" applyBorder="1" applyAlignment="1">
      <alignment vertical="center"/>
    </xf>
    <xf numFmtId="0" fontId="72" fillId="0" borderId="0" xfId="60"/>
    <xf numFmtId="0" fontId="95" fillId="3" borderId="0" xfId="60" applyFont="1" applyFill="1" applyAlignment="1">
      <alignment vertical="center"/>
    </xf>
    <xf numFmtId="0" fontId="95" fillId="0" borderId="0" xfId="60" applyFont="1"/>
    <xf numFmtId="175" fontId="99" fillId="23" borderId="53" xfId="60" applyNumberFormat="1" applyFont="1" applyFill="1" applyBorder="1" applyAlignment="1">
      <alignment horizontal="left"/>
    </xf>
    <xf numFmtId="175" fontId="99" fillId="23" borderId="17" xfId="60" applyNumberFormat="1" applyFont="1" applyFill="1" applyBorder="1"/>
    <xf numFmtId="175" fontId="99" fillId="23" borderId="18" xfId="60" applyNumberFormat="1" applyFont="1" applyFill="1" applyBorder="1"/>
    <xf numFmtId="175" fontId="99" fillId="23" borderId="45" xfId="60" applyNumberFormat="1" applyFont="1" applyFill="1" applyBorder="1"/>
    <xf numFmtId="0" fontId="100" fillId="0" borderId="0" xfId="60" applyFont="1" applyAlignment="1">
      <alignment horizontal="center"/>
    </xf>
    <xf numFmtId="0" fontId="96" fillId="9" borderId="54" xfId="60" applyFont="1" applyFill="1" applyBorder="1" applyAlignment="1">
      <alignment horizontal="left" vertical="top" wrapText="1"/>
    </xf>
    <xf numFmtId="0" fontId="95" fillId="3" borderId="13" xfId="60" applyFont="1" applyFill="1" applyBorder="1" applyAlignment="1">
      <alignment vertical="top" wrapText="1"/>
    </xf>
    <xf numFmtId="0" fontId="95" fillId="0" borderId="13" xfId="60" applyFont="1" applyBorder="1" applyAlignment="1">
      <alignment vertical="top" wrapText="1"/>
    </xf>
    <xf numFmtId="175" fontId="95" fillId="0" borderId="13" xfId="60" applyNumberFormat="1" applyFont="1" applyBorder="1" applyAlignment="1">
      <alignment vertical="top" wrapText="1"/>
    </xf>
    <xf numFmtId="175" fontId="95" fillId="0" borderId="14" xfId="60" applyNumberFormat="1" applyFont="1" applyBorder="1" applyAlignment="1">
      <alignment horizontal="center" vertical="top" wrapText="1"/>
    </xf>
    <xf numFmtId="175" fontId="95" fillId="0" borderId="11" xfId="60" applyNumberFormat="1" applyFont="1" applyBorder="1" applyAlignment="1">
      <alignment horizontal="center" vertical="top" wrapText="1"/>
    </xf>
    <xf numFmtId="175" fontId="95" fillId="0" borderId="47" xfId="60" applyNumberFormat="1" applyFont="1" applyBorder="1" applyAlignment="1">
      <alignment horizontal="center" vertical="top" wrapText="1"/>
    </xf>
    <xf numFmtId="175" fontId="99" fillId="23" borderId="55" xfId="60" applyNumberFormat="1" applyFont="1" applyFill="1" applyBorder="1" applyAlignment="1">
      <alignment horizontal="left"/>
    </xf>
    <xf numFmtId="175" fontId="99" fillId="23" borderId="56" xfId="60" applyNumberFormat="1" applyFont="1" applyFill="1" applyBorder="1"/>
    <xf numFmtId="175" fontId="99" fillId="23" borderId="57" xfId="60" applyNumberFormat="1" applyFont="1" applyFill="1" applyBorder="1"/>
    <xf numFmtId="0" fontId="99" fillId="23" borderId="57" xfId="60" applyFont="1" applyFill="1" applyBorder="1"/>
    <xf numFmtId="175" fontId="99" fillId="23" borderId="58" xfId="60" applyNumberFormat="1" applyFont="1" applyFill="1" applyBorder="1"/>
    <xf numFmtId="0" fontId="95" fillId="22" borderId="13" xfId="60" applyFont="1" applyFill="1" applyBorder="1" applyAlignment="1">
      <alignment vertical="top" wrapText="1"/>
    </xf>
    <xf numFmtId="175" fontId="99" fillId="23" borderId="57" xfId="60" applyNumberFormat="1" applyFont="1" applyFill="1" applyBorder="1" applyAlignment="1">
      <alignment vertical="top"/>
    </xf>
    <xf numFmtId="175" fontId="99" fillId="23" borderId="58" xfId="60" applyNumberFormat="1" applyFont="1" applyFill="1" applyBorder="1" applyAlignment="1">
      <alignment vertical="top"/>
    </xf>
    <xf numFmtId="0" fontId="96" fillId="9" borderId="59" xfId="60" applyFont="1" applyFill="1" applyBorder="1" applyAlignment="1">
      <alignment horizontal="left" vertical="top" wrapText="1"/>
    </xf>
    <xf numFmtId="0" fontId="95" fillId="3" borderId="60" xfId="60" applyFont="1" applyFill="1" applyBorder="1" applyAlignment="1">
      <alignment vertical="top" wrapText="1"/>
    </xf>
    <xf numFmtId="175" fontId="95" fillId="0" borderId="60" xfId="60" applyNumberFormat="1" applyFont="1" applyBorder="1" applyAlignment="1">
      <alignment vertical="top" wrapText="1"/>
    </xf>
    <xf numFmtId="0" fontId="101" fillId="0" borderId="0" xfId="60" applyFont="1"/>
    <xf numFmtId="0" fontId="96" fillId="3" borderId="61" xfId="60" applyFont="1" applyFill="1" applyBorder="1"/>
    <xf numFmtId="0" fontId="96" fillId="3" borderId="61" xfId="60" quotePrefix="1" applyFont="1" applyFill="1" applyBorder="1"/>
    <xf numFmtId="175" fontId="100" fillId="0" borderId="22" xfId="60" applyNumberFormat="1" applyFont="1" applyBorder="1"/>
    <xf numFmtId="175" fontId="100" fillId="0" borderId="23" xfId="60" applyNumberFormat="1" applyFont="1" applyBorder="1"/>
    <xf numFmtId="175" fontId="100" fillId="0" borderId="24" xfId="60" applyNumberFormat="1" applyFont="1" applyBorder="1"/>
    <xf numFmtId="175" fontId="100" fillId="0" borderId="25" xfId="60" applyNumberFormat="1" applyFont="1" applyBorder="1"/>
    <xf numFmtId="175" fontId="100" fillId="0" borderId="0" xfId="60" applyNumberFormat="1" applyFont="1"/>
    <xf numFmtId="175" fontId="100" fillId="0" borderId="26" xfId="60" applyNumberFormat="1" applyFont="1" applyBorder="1"/>
    <xf numFmtId="175" fontId="100" fillId="0" borderId="28" xfId="60" applyNumberFormat="1" applyFont="1" applyBorder="1"/>
    <xf numFmtId="175" fontId="100" fillId="0" borderId="27" xfId="60" applyNumberFormat="1" applyFont="1" applyBorder="1"/>
    <xf numFmtId="175" fontId="100" fillId="0" borderId="29" xfId="60" applyNumberFormat="1" applyFont="1" applyBorder="1"/>
    <xf numFmtId="0" fontId="95" fillId="3" borderId="0" xfId="60" applyFont="1" applyFill="1" applyAlignment="1">
      <alignment horizontal="center" vertical="center"/>
    </xf>
    <xf numFmtId="0" fontId="96" fillId="0" borderId="61" xfId="60" applyFont="1" applyBorder="1"/>
    <xf numFmtId="0" fontId="96" fillId="0" borderId="61" xfId="60" quotePrefix="1" applyFont="1" applyBorder="1"/>
    <xf numFmtId="0" fontId="106" fillId="5" borderId="0" xfId="60" applyFont="1" applyFill="1" applyAlignment="1">
      <alignment horizontal="left"/>
    </xf>
    <xf numFmtId="0" fontId="100" fillId="5" borderId="66" xfId="60" applyFont="1" applyFill="1" applyBorder="1" applyAlignment="1">
      <alignment horizontal="center" vertical="center"/>
    </xf>
    <xf numFmtId="0" fontId="100" fillId="5" borderId="16" xfId="60" applyFont="1" applyFill="1" applyBorder="1" applyAlignment="1">
      <alignment horizontal="center"/>
    </xf>
    <xf numFmtId="175" fontId="100" fillId="0" borderId="19" xfId="60" applyNumberFormat="1" applyFont="1" applyBorder="1" applyAlignment="1">
      <alignment horizontal="center"/>
    </xf>
    <xf numFmtId="175" fontId="100" fillId="0" borderId="62" xfId="60" applyNumberFormat="1" applyFont="1" applyBorder="1" applyAlignment="1">
      <alignment horizontal="center"/>
    </xf>
    <xf numFmtId="0" fontId="100" fillId="5" borderId="44" xfId="60" applyFont="1" applyFill="1" applyBorder="1" applyAlignment="1">
      <alignment horizontal="center" vertical="center"/>
    </xf>
    <xf numFmtId="0" fontId="100" fillId="5" borderId="9" xfId="60" applyFont="1" applyFill="1" applyBorder="1" applyAlignment="1">
      <alignment horizontal="center" vertical="center"/>
    </xf>
    <xf numFmtId="0" fontId="100" fillId="24" borderId="9" xfId="60" applyFont="1" applyFill="1" applyBorder="1" applyAlignment="1">
      <alignment horizontal="center" vertical="center"/>
    </xf>
    <xf numFmtId="0" fontId="72" fillId="0" borderId="13" xfId="60" applyBorder="1"/>
    <xf numFmtId="0" fontId="72" fillId="0" borderId="14" xfId="60" applyBorder="1"/>
    <xf numFmtId="12" fontId="72" fillId="24" borderId="13" xfId="60" applyNumberFormat="1" applyFill="1" applyBorder="1" applyAlignment="1">
      <alignment horizontal="center"/>
    </xf>
    <xf numFmtId="0" fontId="72" fillId="0" borderId="54" xfId="60" applyBorder="1"/>
    <xf numFmtId="0" fontId="72" fillId="0" borderId="59" xfId="60" applyBorder="1"/>
    <xf numFmtId="0" fontId="72" fillId="0" borderId="60" xfId="60" applyBorder="1"/>
    <xf numFmtId="0" fontId="72" fillId="0" borderId="50" xfId="60" applyBorder="1"/>
    <xf numFmtId="0" fontId="72" fillId="3" borderId="60" xfId="60" applyFill="1" applyBorder="1"/>
    <xf numFmtId="12" fontId="72" fillId="24" borderId="60" xfId="60" applyNumberFormat="1" applyFill="1" applyBorder="1" applyAlignment="1">
      <alignment horizontal="center"/>
    </xf>
    <xf numFmtId="0" fontId="100" fillId="0" borderId="16" xfId="60" applyFont="1" applyBorder="1" applyAlignment="1">
      <alignment horizontal="center"/>
    </xf>
    <xf numFmtId="0" fontId="100" fillId="5" borderId="9" xfId="60" applyFont="1" applyFill="1" applyBorder="1" applyAlignment="1">
      <alignment horizontal="center" vertical="center" wrapText="1"/>
    </xf>
    <xf numFmtId="12" fontId="72" fillId="25" borderId="13" xfId="60" applyNumberFormat="1" applyFill="1" applyBorder="1" applyAlignment="1">
      <alignment horizontal="center"/>
    </xf>
    <xf numFmtId="12" fontId="72" fillId="26" borderId="13" xfId="60" applyNumberFormat="1" applyFill="1" applyBorder="1" applyAlignment="1">
      <alignment horizontal="center"/>
    </xf>
    <xf numFmtId="12" fontId="72" fillId="22" borderId="13" xfId="60" applyNumberFormat="1" applyFill="1" applyBorder="1" applyAlignment="1">
      <alignment horizontal="center"/>
    </xf>
    <xf numFmtId="12" fontId="72" fillId="26" borderId="63" xfId="60" applyNumberFormat="1" applyFill="1" applyBorder="1" applyAlignment="1">
      <alignment horizontal="center"/>
    </xf>
    <xf numFmtId="12" fontId="72" fillId="26" borderId="14" xfId="60" applyNumberFormat="1" applyFill="1" applyBorder="1" applyAlignment="1">
      <alignment horizontal="center"/>
    </xf>
    <xf numFmtId="12" fontId="107" fillId="26" borderId="60" xfId="60" applyNumberFormat="1" applyFont="1" applyFill="1" applyBorder="1" applyAlignment="1">
      <alignment horizontal="center"/>
    </xf>
    <xf numFmtId="12" fontId="72" fillId="26" borderId="60" xfId="60" applyNumberFormat="1" applyFill="1" applyBorder="1" applyAlignment="1">
      <alignment horizontal="center"/>
    </xf>
    <xf numFmtId="12" fontId="72" fillId="22" borderId="60" xfId="60" applyNumberFormat="1" applyFill="1" applyBorder="1" applyAlignment="1">
      <alignment horizontal="center"/>
    </xf>
    <xf numFmtId="12" fontId="72" fillId="26" borderId="64" xfId="60" applyNumberFormat="1" applyFill="1" applyBorder="1"/>
    <xf numFmtId="0" fontId="108" fillId="3" borderId="54" xfId="60" applyFont="1" applyFill="1" applyBorder="1"/>
    <xf numFmtId="0" fontId="108" fillId="0" borderId="13" xfId="60" applyFont="1" applyBorder="1"/>
    <xf numFmtId="0" fontId="108" fillId="0" borderId="14" xfId="60" applyFont="1" applyBorder="1"/>
    <xf numFmtId="12" fontId="108" fillId="24" borderId="13" xfId="60" applyNumberFormat="1" applyFont="1" applyFill="1" applyBorder="1" applyAlignment="1">
      <alignment horizontal="center"/>
    </xf>
    <xf numFmtId="12" fontId="109" fillId="0" borderId="13" xfId="60" applyNumberFormat="1" applyFont="1" applyBorder="1" applyAlignment="1">
      <alignment horizontal="center"/>
    </xf>
    <xf numFmtId="12" fontId="108" fillId="0" borderId="13" xfId="60" applyNumberFormat="1" applyFont="1" applyBorder="1" applyAlignment="1">
      <alignment horizontal="center"/>
    </xf>
    <xf numFmtId="12" fontId="108" fillId="22" borderId="63" xfId="60" applyNumberFormat="1" applyFont="1" applyFill="1" applyBorder="1" applyAlignment="1">
      <alignment horizontal="center"/>
    </xf>
    <xf numFmtId="0" fontId="108" fillId="0" borderId="0" xfId="60" applyFont="1"/>
    <xf numFmtId="0" fontId="108" fillId="0" borderId="54" xfId="60" applyFont="1" applyBorder="1"/>
    <xf numFmtId="0" fontId="108" fillId="3" borderId="14" xfId="60" applyFont="1" applyFill="1" applyBorder="1"/>
    <xf numFmtId="0" fontId="109" fillId="0" borderId="13" xfId="60" applyFont="1" applyBorder="1"/>
    <xf numFmtId="0" fontId="108" fillId="0" borderId="59" xfId="60" applyFont="1" applyBorder="1"/>
    <xf numFmtId="0" fontId="108" fillId="0" borderId="60" xfId="60" applyFont="1" applyBorder="1"/>
    <xf numFmtId="0" fontId="108" fillId="0" borderId="50" xfId="60" applyFont="1" applyBorder="1"/>
    <xf numFmtId="0" fontId="108" fillId="3" borderId="60" xfId="60" applyFont="1" applyFill="1" applyBorder="1"/>
    <xf numFmtId="12" fontId="108" fillId="24" borderId="60" xfId="60" applyNumberFormat="1" applyFont="1" applyFill="1" applyBorder="1" applyAlignment="1">
      <alignment horizontal="center"/>
    </xf>
    <xf numFmtId="12" fontId="108" fillId="0" borderId="60" xfId="60" applyNumberFormat="1" applyFont="1" applyBorder="1" applyAlignment="1">
      <alignment horizontal="center"/>
    </xf>
    <xf numFmtId="12" fontId="108" fillId="22" borderId="64" xfId="60" applyNumberFormat="1" applyFont="1" applyFill="1" applyBorder="1" applyAlignment="1">
      <alignment horizontal="center"/>
    </xf>
    <xf numFmtId="0" fontId="55" fillId="2" borderId="70" xfId="0" applyFont="1" applyFill="1" applyBorder="1" applyAlignment="1" applyProtection="1">
      <alignment vertical="center"/>
      <protection hidden="1"/>
    </xf>
    <xf numFmtId="0" fontId="85" fillId="2" borderId="70" xfId="0" applyFont="1" applyFill="1" applyBorder="1" applyAlignment="1">
      <alignment horizontal="left" vertical="center"/>
    </xf>
    <xf numFmtId="0" fontId="85" fillId="2" borderId="70" xfId="0" applyFont="1" applyFill="1" applyBorder="1" applyAlignment="1">
      <alignment horizontal="left" vertical="center" wrapText="1"/>
    </xf>
    <xf numFmtId="0" fontId="55" fillId="2" borderId="70" xfId="0" applyFont="1" applyFill="1" applyBorder="1" applyAlignment="1">
      <alignment vertical="center"/>
    </xf>
    <xf numFmtId="0" fontId="55" fillId="2" borderId="70" xfId="0" applyFont="1" applyFill="1" applyBorder="1" applyAlignment="1">
      <alignment horizontal="left" vertical="center"/>
    </xf>
    <xf numFmtId="15" fontId="55" fillId="2" borderId="70" xfId="0" quotePrefix="1" applyNumberFormat="1" applyFont="1" applyFill="1" applyBorder="1" applyAlignment="1">
      <alignment horizontal="left" vertical="center"/>
    </xf>
    <xf numFmtId="15" fontId="55" fillId="2" borderId="70" xfId="0" applyNumberFormat="1" applyFont="1" applyFill="1" applyBorder="1" applyAlignment="1">
      <alignment vertical="center"/>
    </xf>
    <xf numFmtId="15" fontId="55" fillId="2" borderId="70" xfId="0" applyNumberFormat="1" applyFont="1" applyFill="1" applyBorder="1" applyAlignment="1">
      <alignment horizontal="left" vertical="center" wrapText="1"/>
    </xf>
    <xf numFmtId="15" fontId="55" fillId="2" borderId="70" xfId="0" applyNumberFormat="1" applyFont="1" applyFill="1" applyBorder="1" applyAlignment="1">
      <alignment horizontal="left" vertical="center"/>
    </xf>
    <xf numFmtId="164" fontId="55" fillId="2" borderId="70" xfId="0" quotePrefix="1" applyNumberFormat="1" applyFont="1" applyFill="1" applyBorder="1" applyAlignment="1">
      <alignment horizontal="left" vertical="center"/>
    </xf>
    <xf numFmtId="0" fontId="55" fillId="2" borderId="70" xfId="0" applyFont="1" applyFill="1" applyBorder="1" applyAlignment="1">
      <alignment horizontal="center" vertical="center" wrapText="1"/>
    </xf>
    <xf numFmtId="0" fontId="55" fillId="2" borderId="70" xfId="0" applyFont="1" applyFill="1" applyBorder="1" applyAlignment="1">
      <alignment horizontal="center" vertical="center"/>
    </xf>
    <xf numFmtId="0" fontId="55" fillId="0" borderId="70" xfId="0" applyFont="1" applyBorder="1" applyAlignment="1">
      <alignment horizontal="left" vertical="center"/>
    </xf>
    <xf numFmtId="0" fontId="55" fillId="2" borderId="70" xfId="0" applyFont="1" applyFill="1" applyBorder="1" applyAlignment="1">
      <alignment vertical="center" wrapText="1"/>
    </xf>
    <xf numFmtId="0" fontId="29" fillId="2" borderId="71" xfId="0" applyFont="1" applyFill="1" applyBorder="1" applyAlignment="1">
      <alignment horizontal="center" vertical="center" wrapText="1"/>
    </xf>
    <xf numFmtId="1" fontId="29" fillId="0" borderId="71" xfId="1" applyNumberFormat="1" applyFont="1" applyBorder="1" applyAlignment="1">
      <alignment horizontal="center" vertical="center" wrapText="1"/>
    </xf>
    <xf numFmtId="1" fontId="26" fillId="2" borderId="71" xfId="0" applyNumberFormat="1" applyFont="1" applyFill="1" applyBorder="1" applyAlignment="1">
      <alignment horizontal="center" vertical="center" wrapText="1"/>
    </xf>
    <xf numFmtId="1" fontId="26" fillId="0" borderId="71" xfId="1" applyNumberFormat="1" applyFont="1" applyBorder="1" applyAlignment="1">
      <alignment horizontal="center" vertical="center" wrapText="1"/>
    </xf>
    <xf numFmtId="0" fontId="31" fillId="2" borderId="71" xfId="0" applyFont="1" applyFill="1" applyBorder="1" applyAlignment="1">
      <alignment horizontal="center" vertical="center" wrapText="1"/>
    </xf>
    <xf numFmtId="1" fontId="31" fillId="0" borderId="71" xfId="1" applyNumberFormat="1" applyFont="1" applyBorder="1" applyAlignment="1">
      <alignment horizontal="center" vertical="center" wrapText="1"/>
    </xf>
    <xf numFmtId="1" fontId="32" fillId="0" borderId="71" xfId="1" applyNumberFormat="1" applyFont="1" applyBorder="1" applyAlignment="1">
      <alignment horizontal="center" vertical="center" wrapText="1"/>
    </xf>
    <xf numFmtId="0" fontId="26" fillId="0" borderId="71" xfId="0" quotePrefix="1" applyFont="1" applyBorder="1" applyAlignment="1">
      <alignment horizontal="center" vertical="center"/>
    </xf>
    <xf numFmtId="0" fontId="100" fillId="24" borderId="71" xfId="60" applyFont="1" applyFill="1" applyBorder="1" applyAlignment="1">
      <alignment vertical="center"/>
    </xf>
    <xf numFmtId="0" fontId="108" fillId="0" borderId="72" xfId="60" applyFont="1" applyBorder="1"/>
    <xf numFmtId="0" fontId="108" fillId="0" borderId="76" xfId="60" applyFont="1" applyBorder="1"/>
    <xf numFmtId="0" fontId="108" fillId="0" borderId="71" xfId="60" applyFont="1" applyBorder="1"/>
    <xf numFmtId="0" fontId="108" fillId="3" borderId="72" xfId="60" applyFont="1" applyFill="1" applyBorder="1"/>
    <xf numFmtId="12" fontId="108" fillId="24" borderId="71" xfId="60" applyNumberFormat="1" applyFont="1" applyFill="1" applyBorder="1" applyAlignment="1">
      <alignment horizontal="center"/>
    </xf>
    <xf numFmtId="12" fontId="108" fillId="0" borderId="71" xfId="60" applyNumberFormat="1" applyFont="1" applyBorder="1" applyAlignment="1">
      <alignment horizontal="center"/>
    </xf>
    <xf numFmtId="12" fontId="108" fillId="22" borderId="75" xfId="60" applyNumberFormat="1" applyFont="1" applyFill="1" applyBorder="1" applyAlignment="1">
      <alignment horizontal="center"/>
    </xf>
    <xf numFmtId="0" fontId="100" fillId="5" borderId="71" xfId="60" applyFont="1" applyFill="1" applyBorder="1" applyAlignment="1">
      <alignment horizontal="center" vertical="center" wrapText="1"/>
    </xf>
    <xf numFmtId="0" fontId="72" fillId="0" borderId="72" xfId="60" applyBorder="1"/>
    <xf numFmtId="0" fontId="72" fillId="0" borderId="76" xfId="60" applyBorder="1"/>
    <xf numFmtId="0" fontId="72" fillId="0" borderId="71" xfId="60" applyBorder="1"/>
    <xf numFmtId="12" fontId="72" fillId="24" borderId="71" xfId="60" applyNumberFormat="1" applyFill="1" applyBorder="1" applyAlignment="1">
      <alignment horizontal="center"/>
    </xf>
    <xf numFmtId="12" fontId="72" fillId="26" borderId="71" xfId="60" applyNumberFormat="1" applyFill="1" applyBorder="1" applyAlignment="1">
      <alignment horizontal="center"/>
    </xf>
    <xf numFmtId="12" fontId="72" fillId="22" borderId="71" xfId="60" applyNumberFormat="1" applyFill="1" applyBorder="1" applyAlignment="1">
      <alignment horizontal="center"/>
    </xf>
    <xf numFmtId="12" fontId="72" fillId="26" borderId="75" xfId="60" applyNumberFormat="1" applyFill="1" applyBorder="1" applyAlignment="1">
      <alignment horizontal="center"/>
    </xf>
    <xf numFmtId="0" fontId="32" fillId="2" borderId="77" xfId="0" applyFont="1" applyFill="1" applyBorder="1" applyAlignment="1" applyProtection="1">
      <alignment vertical="center"/>
      <protection hidden="1"/>
    </xf>
    <xf numFmtId="0" fontId="33" fillId="2" borderId="77" xfId="0" applyFont="1" applyFill="1" applyBorder="1" applyAlignment="1">
      <alignment horizontal="left" vertical="center"/>
    </xf>
    <xf numFmtId="0" fontId="33" fillId="2" borderId="77" xfId="0" applyFont="1" applyFill="1" applyBorder="1" applyAlignment="1">
      <alignment horizontal="left" vertical="center" wrapText="1"/>
    </xf>
    <xf numFmtId="0" fontId="32" fillId="2" borderId="77" xfId="0" applyFont="1" applyFill="1" applyBorder="1" applyAlignment="1">
      <alignment vertical="center"/>
    </xf>
    <xf numFmtId="0" fontId="32" fillId="2" borderId="77" xfId="0" applyFont="1" applyFill="1" applyBorder="1" applyAlignment="1">
      <alignment horizontal="left" vertical="center"/>
    </xf>
    <xf numFmtId="15" fontId="32" fillId="2" borderId="77" xfId="0" quotePrefix="1" applyNumberFormat="1" applyFont="1" applyFill="1" applyBorder="1" applyAlignment="1">
      <alignment vertical="center"/>
    </xf>
    <xf numFmtId="15" fontId="32" fillId="2" borderId="77" xfId="0" applyNumberFormat="1" applyFont="1" applyFill="1" applyBorder="1" applyAlignment="1">
      <alignment vertical="center"/>
    </xf>
    <xf numFmtId="15" fontId="32" fillId="2" borderId="77" xfId="0" applyNumberFormat="1" applyFont="1" applyFill="1" applyBorder="1" applyAlignment="1">
      <alignment horizontal="left" vertical="center" wrapText="1"/>
    </xf>
    <xf numFmtId="15" fontId="32" fillId="2" borderId="77" xfId="0" applyNumberFormat="1" applyFont="1" applyFill="1" applyBorder="1" applyAlignment="1">
      <alignment horizontal="left" vertical="center"/>
    </xf>
    <xf numFmtId="164" fontId="32" fillId="2" borderId="77" xfId="0" quotePrefix="1" applyNumberFormat="1" applyFont="1" applyFill="1" applyBorder="1" applyAlignment="1">
      <alignment horizontal="left" vertical="center"/>
    </xf>
    <xf numFmtId="0" fontId="32" fillId="2" borderId="77" xfId="0" applyFont="1" applyFill="1" applyBorder="1" applyAlignment="1">
      <alignment horizontal="center" vertical="center" wrapText="1"/>
    </xf>
    <xf numFmtId="0" fontId="32" fillId="2" borderId="77" xfId="0" applyFont="1" applyFill="1" applyBorder="1" applyAlignment="1">
      <alignment horizontal="center" vertical="center"/>
    </xf>
    <xf numFmtId="0" fontId="73" fillId="2" borderId="77" xfId="0" applyFont="1" applyFill="1" applyBorder="1" applyAlignment="1">
      <alignment vertical="center"/>
    </xf>
    <xf numFmtId="0" fontId="32" fillId="2" borderId="77" xfId="0" applyFont="1" applyFill="1" applyBorder="1" applyAlignment="1">
      <alignment vertical="center" wrapText="1"/>
    </xf>
    <xf numFmtId="1" fontId="74" fillId="0" borderId="78" xfId="0" applyNumberFormat="1" applyFont="1" applyBorder="1" applyAlignment="1">
      <alignment vertical="center" wrapText="1"/>
    </xf>
    <xf numFmtId="1" fontId="31" fillId="0" borderId="78" xfId="1" applyNumberFormat="1" applyFont="1" applyBorder="1" applyAlignment="1">
      <alignment vertical="center" wrapText="1"/>
    </xf>
    <xf numFmtId="1" fontId="32" fillId="2" borderId="78" xfId="0" applyNumberFormat="1" applyFont="1" applyFill="1" applyBorder="1" applyAlignment="1">
      <alignment vertical="center" wrapText="1"/>
    </xf>
    <xf numFmtId="0" fontId="26" fillId="3" borderId="14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vertical="center" wrapText="1"/>
    </xf>
    <xf numFmtId="0" fontId="26" fillId="3" borderId="73" xfId="0" applyFont="1" applyFill="1" applyBorder="1" applyAlignment="1">
      <alignment horizontal="center" vertical="center" wrapText="1"/>
    </xf>
    <xf numFmtId="0" fontId="26" fillId="3" borderId="74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0" fontId="29" fillId="9" borderId="13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left" vertical="center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1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1" fontId="31" fillId="0" borderId="12" xfId="1" applyNumberFormat="1" applyFont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1" fontId="29" fillId="0" borderId="14" xfId="1" applyNumberFormat="1" applyFont="1" applyBorder="1" applyAlignment="1">
      <alignment horizontal="center" vertical="center" wrapText="1"/>
    </xf>
    <xf numFmtId="1" fontId="29" fillId="0" borderId="12" xfId="1" applyNumberFormat="1" applyFont="1" applyBorder="1" applyAlignment="1">
      <alignment horizontal="center" vertical="center" wrapText="1"/>
    </xf>
    <xf numFmtId="0" fontId="29" fillId="2" borderId="72" xfId="0" applyFont="1" applyFill="1" applyBorder="1" applyAlignment="1">
      <alignment horizontal="center" vertical="center" wrapText="1"/>
    </xf>
    <xf numFmtId="0" fontId="29" fillId="2" borderId="73" xfId="0" applyFont="1" applyFill="1" applyBorder="1" applyAlignment="1">
      <alignment horizontal="center" vertical="center" wrapText="1"/>
    </xf>
    <xf numFmtId="0" fontId="29" fillId="2" borderId="74" xfId="0" applyFont="1" applyFill="1" applyBorder="1" applyAlignment="1">
      <alignment horizontal="center" vertical="center" wrapText="1"/>
    </xf>
    <xf numFmtId="0" fontId="93" fillId="3" borderId="22" xfId="0" applyFont="1" applyFill="1" applyBorder="1" applyAlignment="1">
      <alignment horizontal="center" vertical="center" wrapText="1"/>
    </xf>
    <xf numFmtId="0" fontId="93" fillId="3" borderId="23" xfId="0" applyFont="1" applyFill="1" applyBorder="1" applyAlignment="1">
      <alignment horizontal="center" vertical="center" wrapText="1"/>
    </xf>
    <xf numFmtId="0" fontId="93" fillId="3" borderId="24" xfId="0" applyFont="1" applyFill="1" applyBorder="1" applyAlignment="1">
      <alignment horizontal="center" vertical="center" wrapText="1"/>
    </xf>
    <xf numFmtId="0" fontId="93" fillId="3" borderId="25" xfId="0" applyFont="1" applyFill="1" applyBorder="1" applyAlignment="1">
      <alignment horizontal="center" vertical="center" wrapText="1"/>
    </xf>
    <xf numFmtId="0" fontId="93" fillId="3" borderId="0" xfId="0" applyFont="1" applyFill="1" applyAlignment="1">
      <alignment horizontal="center" vertical="center" wrapText="1"/>
    </xf>
    <xf numFmtId="0" fontId="93" fillId="3" borderId="26" xfId="0" applyFont="1" applyFill="1" applyBorder="1" applyAlignment="1">
      <alignment horizontal="center" vertical="center" wrapText="1"/>
    </xf>
    <xf numFmtId="0" fontId="93" fillId="3" borderId="28" xfId="0" applyFont="1" applyFill="1" applyBorder="1" applyAlignment="1">
      <alignment horizontal="center" vertical="center" wrapText="1"/>
    </xf>
    <xf numFmtId="0" fontId="93" fillId="3" borderId="27" xfId="0" applyFont="1" applyFill="1" applyBorder="1" applyAlignment="1">
      <alignment horizontal="center" vertical="center" wrapText="1"/>
    </xf>
    <xf numFmtId="0" fontId="93" fillId="3" borderId="29" xfId="0" applyFont="1" applyFill="1" applyBorder="1" applyAlignment="1">
      <alignment horizontal="center" vertical="center" wrapText="1"/>
    </xf>
    <xf numFmtId="0" fontId="55" fillId="2" borderId="70" xfId="0" applyFont="1" applyFill="1" applyBorder="1" applyAlignment="1">
      <alignment horizontal="center" vertical="center"/>
    </xf>
    <xf numFmtId="0" fontId="73" fillId="5" borderId="4" xfId="0" applyFont="1" applyFill="1" applyBorder="1" applyAlignment="1">
      <alignment horizontal="center" vertical="center"/>
    </xf>
    <xf numFmtId="0" fontId="73" fillId="5" borderId="5" xfId="0" applyFont="1" applyFill="1" applyBorder="1" applyAlignment="1">
      <alignment horizontal="center" vertical="center"/>
    </xf>
    <xf numFmtId="0" fontId="73" fillId="5" borderId="8" xfId="0" applyFont="1" applyFill="1" applyBorder="1" applyAlignment="1">
      <alignment horizontal="center" vertical="center" wrapText="1"/>
    </xf>
    <xf numFmtId="0" fontId="73" fillId="5" borderId="5" xfId="0" applyFont="1" applyFill="1" applyBorder="1" applyAlignment="1">
      <alignment horizontal="center" vertical="center" wrapText="1"/>
    </xf>
    <xf numFmtId="0" fontId="73" fillId="5" borderId="6" xfId="0" applyFont="1" applyFill="1" applyBorder="1" applyAlignment="1">
      <alignment horizontal="center" vertical="center" wrapText="1"/>
    </xf>
    <xf numFmtId="0" fontId="55" fillId="0" borderId="70" xfId="0" applyFont="1" applyBorder="1" applyAlignment="1">
      <alignment horizontal="left" vertical="center" wrapText="1"/>
    </xf>
    <xf numFmtId="0" fontId="32" fillId="2" borderId="0" xfId="0" applyFont="1" applyFill="1" applyAlignment="1">
      <alignment horizontal="center" vertical="center" wrapText="1"/>
    </xf>
    <xf numFmtId="0" fontId="55" fillId="3" borderId="0" xfId="0" applyFont="1" applyFill="1" applyAlignment="1">
      <alignment horizontal="left" vertical="center" wrapText="1"/>
    </xf>
    <xf numFmtId="0" fontId="55" fillId="3" borderId="26" xfId="0" applyFont="1" applyFill="1" applyBorder="1" applyAlignment="1">
      <alignment horizontal="left" vertical="center" wrapText="1"/>
    </xf>
    <xf numFmtId="0" fontId="27" fillId="10" borderId="13" xfId="0" applyFont="1" applyFill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4" fillId="0" borderId="13" xfId="0" quotePrefix="1" applyFont="1" applyBorder="1" applyAlignment="1">
      <alignment horizontal="center" vertical="center"/>
    </xf>
    <xf numFmtId="16" fontId="34" fillId="0" borderId="13" xfId="0" quotePrefix="1" applyNumberFormat="1" applyFont="1" applyBorder="1" applyAlignment="1">
      <alignment horizontal="center" vertical="center"/>
    </xf>
    <xf numFmtId="0" fontId="32" fillId="21" borderId="15" xfId="0" applyFont="1" applyFill="1" applyBorder="1" applyAlignment="1">
      <alignment horizontal="center" vertical="center"/>
    </xf>
    <xf numFmtId="0" fontId="32" fillId="21" borderId="18" xfId="0" applyFont="1" applyFill="1" applyBorder="1" applyAlignment="1">
      <alignment horizontal="center" vertical="center"/>
    </xf>
    <xf numFmtId="0" fontId="32" fillId="21" borderId="16" xfId="0" applyFont="1" applyFill="1" applyBorder="1" applyAlignment="1">
      <alignment horizontal="center" vertical="center"/>
    </xf>
    <xf numFmtId="0" fontId="55" fillId="2" borderId="13" xfId="0" applyFont="1" applyFill="1" applyBorder="1" applyAlignment="1">
      <alignment horizontal="center" vertical="center" wrapText="1"/>
    </xf>
    <xf numFmtId="0" fontId="55" fillId="2" borderId="13" xfId="0" applyFont="1" applyFill="1" applyBorder="1" applyAlignment="1">
      <alignment horizontal="center" vertical="center"/>
    </xf>
    <xf numFmtId="0" fontId="73" fillId="5" borderId="15" xfId="0" applyFont="1" applyFill="1" applyBorder="1" applyAlignment="1">
      <alignment horizontal="center" vertical="center"/>
    </xf>
    <xf numFmtId="0" fontId="73" fillId="5" borderId="18" xfId="0" applyFont="1" applyFill="1" applyBorder="1" applyAlignment="1">
      <alignment horizontal="center" vertical="center"/>
    </xf>
    <xf numFmtId="0" fontId="73" fillId="5" borderId="16" xfId="0" applyFont="1" applyFill="1" applyBorder="1" applyAlignment="1">
      <alignment horizontal="center" vertical="center"/>
    </xf>
    <xf numFmtId="0" fontId="73" fillId="5" borderId="17" xfId="0" applyFont="1" applyFill="1" applyBorder="1" applyAlignment="1">
      <alignment horizontal="center" vertical="center" wrapText="1"/>
    </xf>
    <xf numFmtId="0" fontId="73" fillId="5" borderId="16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4" xfId="0" quotePrefix="1" applyFont="1" applyFill="1" applyBorder="1" applyAlignment="1">
      <alignment horizontal="center" vertical="center" wrapText="1"/>
    </xf>
    <xf numFmtId="0" fontId="29" fillId="2" borderId="11" xfId="0" quotePrefix="1" applyFont="1" applyFill="1" applyBorder="1" applyAlignment="1">
      <alignment horizontal="center" vertical="center" wrapText="1"/>
    </xf>
    <xf numFmtId="0" fontId="29" fillId="2" borderId="12" xfId="0" quotePrefix="1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0" borderId="14" xfId="0" quotePrefix="1" applyFont="1" applyBorder="1" applyAlignment="1">
      <alignment horizontal="center" vertical="center"/>
    </xf>
    <xf numFmtId="0" fontId="26" fillId="0" borderId="11" xfId="0" quotePrefix="1" applyFont="1" applyBorder="1" applyAlignment="1">
      <alignment horizontal="center" vertical="center"/>
    </xf>
    <xf numFmtId="0" fontId="26" fillId="0" borderId="12" xfId="0" quotePrefix="1" applyFont="1" applyBorder="1" applyAlignment="1">
      <alignment horizontal="center" vertical="center"/>
    </xf>
    <xf numFmtId="12" fontId="26" fillId="0" borderId="14" xfId="0" quotePrefix="1" applyNumberFormat="1" applyFont="1" applyBorder="1" applyAlignment="1">
      <alignment horizontal="center" vertical="center" wrapText="1"/>
    </xf>
    <xf numFmtId="12" fontId="26" fillId="0" borderId="11" xfId="0" quotePrefix="1" applyNumberFormat="1" applyFont="1" applyBorder="1" applyAlignment="1">
      <alignment horizontal="center" vertical="center" wrapText="1"/>
    </xf>
    <xf numFmtId="12" fontId="26" fillId="0" borderId="12" xfId="0" quotePrefix="1" applyNumberFormat="1" applyFont="1" applyBorder="1" applyAlignment="1">
      <alignment horizontal="center" vertical="center" wrapText="1"/>
    </xf>
    <xf numFmtId="0" fontId="31" fillId="2" borderId="72" xfId="0" applyFont="1" applyFill="1" applyBorder="1" applyAlignment="1">
      <alignment horizontal="center" vertical="center" wrapText="1"/>
    </xf>
    <xf numFmtId="0" fontId="31" fillId="2" borderId="73" xfId="0" applyFont="1" applyFill="1" applyBorder="1" applyAlignment="1">
      <alignment horizontal="center" vertical="center" wrapText="1"/>
    </xf>
    <xf numFmtId="0" fontId="31" fillId="2" borderId="74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55" fillId="5" borderId="14" xfId="2" applyFont="1" applyFill="1" applyBorder="1" applyAlignment="1">
      <alignment horizontal="center" vertical="center" wrapText="1"/>
    </xf>
    <xf numFmtId="0" fontId="55" fillId="5" borderId="11" xfId="2" applyFont="1" applyFill="1" applyBorder="1" applyAlignment="1">
      <alignment horizontal="center" vertical="center" wrapText="1"/>
    </xf>
    <xf numFmtId="1" fontId="55" fillId="5" borderId="14" xfId="2" applyNumberFormat="1" applyFont="1" applyFill="1" applyBorder="1" applyAlignment="1">
      <alignment horizontal="center" vertical="center" wrapText="1"/>
    </xf>
    <xf numFmtId="1" fontId="55" fillId="5" borderId="11" xfId="2" applyNumberFormat="1" applyFont="1" applyFill="1" applyBorder="1" applyAlignment="1">
      <alignment horizontal="center" vertical="center" wrapText="1"/>
    </xf>
    <xf numFmtId="0" fontId="55" fillId="0" borderId="14" xfId="2" applyFont="1" applyBorder="1" applyAlignment="1">
      <alignment horizontal="center" wrapText="1"/>
    </xf>
    <xf numFmtId="0" fontId="55" fillId="0" borderId="11" xfId="2" applyFont="1" applyBorder="1" applyAlignment="1">
      <alignment horizontal="center" wrapText="1"/>
    </xf>
    <xf numFmtId="175" fontId="95" fillId="0" borderId="50" xfId="60" applyNumberFormat="1" applyFont="1" applyBorder="1" applyAlignment="1">
      <alignment horizontal="center" vertical="top" wrapText="1"/>
    </xf>
    <xf numFmtId="175" fontId="95" fillId="0" borderId="51" xfId="60" applyNumberFormat="1" applyFont="1" applyBorder="1" applyAlignment="1">
      <alignment horizontal="center" vertical="top" wrapText="1"/>
    </xf>
    <xf numFmtId="175" fontId="95" fillId="0" borderId="52" xfId="60" applyNumberFormat="1" applyFont="1" applyBorder="1" applyAlignment="1">
      <alignment horizontal="center" vertical="top" wrapText="1"/>
    </xf>
    <xf numFmtId="175" fontId="95" fillId="0" borderId="14" xfId="60" applyNumberFormat="1" applyFont="1" applyBorder="1" applyAlignment="1">
      <alignment horizontal="center" vertical="top" wrapText="1"/>
    </xf>
    <xf numFmtId="175" fontId="95" fillId="0" borderId="11" xfId="60" applyNumberFormat="1" applyFont="1" applyBorder="1" applyAlignment="1">
      <alignment horizontal="center" vertical="top" wrapText="1"/>
    </xf>
    <xf numFmtId="175" fontId="95" fillId="0" borderId="47" xfId="60" applyNumberFormat="1" applyFont="1" applyBorder="1" applyAlignment="1">
      <alignment horizontal="center" vertical="top" wrapText="1"/>
    </xf>
    <xf numFmtId="175" fontId="95" fillId="22" borderId="14" xfId="60" applyNumberFormat="1" applyFont="1" applyFill="1" applyBorder="1" applyAlignment="1">
      <alignment horizontal="center" vertical="top" wrapText="1"/>
    </xf>
    <xf numFmtId="175" fontId="95" fillId="22" borderId="11" xfId="60" applyNumberFormat="1" applyFont="1" applyFill="1" applyBorder="1" applyAlignment="1">
      <alignment horizontal="center" vertical="top" wrapText="1"/>
    </xf>
    <xf numFmtId="175" fontId="95" fillId="22" borderId="47" xfId="60" applyNumberFormat="1" applyFont="1" applyFill="1" applyBorder="1" applyAlignment="1">
      <alignment horizontal="center" vertical="top" wrapText="1"/>
    </xf>
    <xf numFmtId="0" fontId="72" fillId="0" borderId="0" xfId="60" applyAlignment="1">
      <alignment horizontal="center"/>
    </xf>
    <xf numFmtId="0" fontId="98" fillId="5" borderId="27" xfId="60" applyFont="1" applyFill="1" applyBorder="1" applyAlignment="1">
      <alignment horizontal="center"/>
    </xf>
    <xf numFmtId="0" fontId="96" fillId="5" borderId="46" xfId="60" applyFont="1" applyFill="1" applyBorder="1" applyAlignment="1">
      <alignment horizontal="center"/>
    </xf>
    <xf numFmtId="0" fontId="96" fillId="5" borderId="12" xfId="60" applyFont="1" applyFill="1" applyBorder="1" applyAlignment="1">
      <alignment horizontal="center"/>
    </xf>
    <xf numFmtId="14" fontId="95" fillId="0" borderId="14" xfId="60" applyNumberFormat="1" applyFont="1" applyBorder="1" applyAlignment="1">
      <alignment horizontal="center"/>
    </xf>
    <xf numFmtId="14" fontId="95" fillId="0" borderId="11" xfId="60" applyNumberFormat="1" applyFont="1" applyBorder="1" applyAlignment="1">
      <alignment horizontal="center"/>
    </xf>
    <xf numFmtId="14" fontId="95" fillId="0" borderId="12" xfId="60" applyNumberFormat="1" applyFont="1" applyBorder="1" applyAlignment="1">
      <alignment horizontal="center"/>
    </xf>
    <xf numFmtId="0" fontId="96" fillId="5" borderId="14" xfId="60" applyFont="1" applyFill="1" applyBorder="1" applyAlignment="1">
      <alignment horizontal="center"/>
    </xf>
    <xf numFmtId="0" fontId="97" fillId="0" borderId="14" xfId="60" applyFont="1" applyBorder="1" applyAlignment="1">
      <alignment horizontal="center"/>
    </xf>
    <xf numFmtId="0" fontId="97" fillId="0" borderId="11" xfId="60" applyFont="1" applyBorder="1" applyAlignment="1">
      <alignment horizontal="center"/>
    </xf>
    <xf numFmtId="0" fontId="97" fillId="0" borderId="47" xfId="60" applyFont="1" applyBorder="1" applyAlignment="1">
      <alignment horizontal="center"/>
    </xf>
    <xf numFmtId="0" fontId="96" fillId="5" borderId="48" xfId="60" applyFont="1" applyFill="1" applyBorder="1" applyAlignment="1">
      <alignment horizontal="center"/>
    </xf>
    <xf numFmtId="0" fontId="96" fillId="5" borderId="49" xfId="60" applyFont="1" applyFill="1" applyBorder="1" applyAlignment="1">
      <alignment horizontal="center"/>
    </xf>
    <xf numFmtId="14" fontId="95" fillId="0" borderId="50" xfId="60" applyNumberFormat="1" applyFont="1" applyBorder="1" applyAlignment="1">
      <alignment horizontal="center"/>
    </xf>
    <xf numFmtId="14" fontId="95" fillId="0" borderId="51" xfId="60" applyNumberFormat="1" applyFont="1" applyBorder="1" applyAlignment="1">
      <alignment horizontal="center"/>
    </xf>
    <xf numFmtId="14" fontId="95" fillId="0" borderId="49" xfId="60" applyNumberFormat="1" applyFont="1" applyBorder="1" applyAlignment="1">
      <alignment horizontal="center"/>
    </xf>
    <xf numFmtId="0" fontId="96" fillId="5" borderId="50" xfId="60" applyFont="1" applyFill="1" applyBorder="1" applyAlignment="1">
      <alignment horizontal="center"/>
    </xf>
    <xf numFmtId="0" fontId="96" fillId="22" borderId="50" xfId="60" applyFont="1" applyFill="1" applyBorder="1" applyAlignment="1">
      <alignment horizontal="center"/>
    </xf>
    <xf numFmtId="0" fontId="96" fillId="22" borderId="51" xfId="60" applyFont="1" applyFill="1" applyBorder="1" applyAlignment="1">
      <alignment horizontal="center"/>
    </xf>
    <xf numFmtId="0" fontId="96" fillId="22" borderId="52" xfId="60" applyFont="1" applyFill="1" applyBorder="1" applyAlignment="1">
      <alignment horizontal="center"/>
    </xf>
    <xf numFmtId="0" fontId="95" fillId="0" borderId="14" xfId="60" applyFont="1" applyBorder="1" applyAlignment="1">
      <alignment horizontal="center"/>
    </xf>
    <xf numFmtId="0" fontId="95" fillId="0" borderId="11" xfId="60" applyFont="1" applyBorder="1" applyAlignment="1">
      <alignment horizontal="center"/>
    </xf>
    <xf numFmtId="0" fontId="95" fillId="0" borderId="12" xfId="60" applyFont="1" applyBorder="1" applyAlignment="1">
      <alignment horizontal="center"/>
    </xf>
    <xf numFmtId="0" fontId="95" fillId="0" borderId="47" xfId="60" applyFont="1" applyBorder="1" applyAlignment="1">
      <alignment horizontal="center"/>
    </xf>
    <xf numFmtId="0" fontId="96" fillId="5" borderId="46" xfId="60" quotePrefix="1" applyFont="1" applyFill="1" applyBorder="1" applyAlignment="1">
      <alignment horizontal="center"/>
    </xf>
    <xf numFmtId="0" fontId="96" fillId="5" borderId="12" xfId="60" quotePrefix="1" applyFont="1" applyFill="1" applyBorder="1" applyAlignment="1">
      <alignment horizontal="center"/>
    </xf>
    <xf numFmtId="0" fontId="96" fillId="0" borderId="14" xfId="60" applyFont="1" applyBorder="1" applyAlignment="1">
      <alignment horizontal="center"/>
    </xf>
    <xf numFmtId="0" fontId="96" fillId="0" borderId="11" xfId="60" applyFont="1" applyBorder="1" applyAlignment="1">
      <alignment horizontal="center"/>
    </xf>
    <xf numFmtId="0" fontId="96" fillId="0" borderId="12" xfId="60" applyFont="1" applyBorder="1" applyAlignment="1">
      <alignment horizontal="center"/>
    </xf>
    <xf numFmtId="0" fontId="96" fillId="5" borderId="15" xfId="60" applyFont="1" applyFill="1" applyBorder="1" applyAlignment="1">
      <alignment horizontal="center"/>
    </xf>
    <xf numFmtId="0" fontId="96" fillId="5" borderId="16" xfId="60" applyFont="1" applyFill="1" applyBorder="1" applyAlignment="1">
      <alignment horizontal="center"/>
    </xf>
    <xf numFmtId="0" fontId="96" fillId="0" borderId="17" xfId="60" applyFont="1" applyBorder="1" applyAlignment="1">
      <alignment horizontal="center"/>
    </xf>
    <xf numFmtId="0" fontId="96" fillId="0" borderId="18" xfId="60" applyFont="1" applyBorder="1" applyAlignment="1">
      <alignment horizontal="center"/>
    </xf>
    <xf numFmtId="0" fontId="96" fillId="0" borderId="16" xfId="60" applyFont="1" applyBorder="1" applyAlignment="1">
      <alignment horizontal="center"/>
    </xf>
    <xf numFmtId="0" fontId="96" fillId="5" borderId="17" xfId="60" applyFont="1" applyFill="1" applyBorder="1" applyAlignment="1">
      <alignment horizontal="center"/>
    </xf>
    <xf numFmtId="0" fontId="96" fillId="0" borderId="45" xfId="60" applyFont="1" applyBorder="1" applyAlignment="1">
      <alignment horizontal="center"/>
    </xf>
    <xf numFmtId="0" fontId="72" fillId="0" borderId="73" xfId="60" applyBorder="1" applyAlignment="1">
      <alignment horizontal="center"/>
    </xf>
    <xf numFmtId="0" fontId="98" fillId="5" borderId="0" xfId="60" applyFont="1" applyFill="1" applyAlignment="1">
      <alignment horizontal="center"/>
    </xf>
    <xf numFmtId="0" fontId="100" fillId="5" borderId="71" xfId="60" applyFont="1" applyFill="1" applyBorder="1" applyAlignment="1">
      <alignment horizontal="center" wrapText="1"/>
    </xf>
    <xf numFmtId="0" fontId="100" fillId="5" borderId="9" xfId="60" applyFont="1" applyFill="1" applyBorder="1" applyAlignment="1">
      <alignment horizontal="center" wrapText="1"/>
    </xf>
    <xf numFmtId="0" fontId="106" fillId="5" borderId="0" xfId="60" applyFont="1" applyFill="1" applyAlignment="1">
      <alignment horizontal="left"/>
    </xf>
    <xf numFmtId="0" fontId="100" fillId="5" borderId="22" xfId="60" applyFont="1" applyFill="1" applyBorder="1" applyAlignment="1">
      <alignment horizontal="center" vertical="center"/>
    </xf>
    <xf numFmtId="0" fontId="100" fillId="5" borderId="65" xfId="60" applyFont="1" applyFill="1" applyBorder="1" applyAlignment="1">
      <alignment horizontal="center" vertical="center"/>
    </xf>
    <xf numFmtId="0" fontId="100" fillId="5" borderId="25" xfId="60" applyFont="1" applyFill="1" applyBorder="1" applyAlignment="1">
      <alignment horizontal="center" vertical="center"/>
    </xf>
    <xf numFmtId="0" fontId="100" fillId="5" borderId="61" xfId="60" applyFont="1" applyFill="1" applyBorder="1" applyAlignment="1">
      <alignment horizontal="center" vertical="center"/>
    </xf>
    <xf numFmtId="0" fontId="100" fillId="5" borderId="67" xfId="60" applyFont="1" applyFill="1" applyBorder="1" applyAlignment="1">
      <alignment horizontal="center" vertical="center"/>
    </xf>
    <xf numFmtId="0" fontId="100" fillId="5" borderId="68" xfId="60" applyFont="1" applyFill="1" applyBorder="1" applyAlignment="1">
      <alignment horizontal="center" vertical="center"/>
    </xf>
    <xf numFmtId="0" fontId="100" fillId="5" borderId="66" xfId="60" applyFont="1" applyFill="1" applyBorder="1" applyAlignment="1">
      <alignment horizontal="center" vertical="center"/>
    </xf>
    <xf numFmtId="0" fontId="100" fillId="5" borderId="44" xfId="60" applyFont="1" applyFill="1" applyBorder="1" applyAlignment="1">
      <alignment horizontal="center" vertical="center"/>
    </xf>
    <xf numFmtId="0" fontId="100" fillId="5" borderId="9" xfId="60" applyFont="1" applyFill="1" applyBorder="1" applyAlignment="1">
      <alignment horizontal="center" vertical="center"/>
    </xf>
    <xf numFmtId="0" fontId="100" fillId="5" borderId="71" xfId="60" applyFont="1" applyFill="1" applyBorder="1" applyAlignment="1">
      <alignment horizontal="center"/>
    </xf>
    <xf numFmtId="0" fontId="100" fillId="5" borderId="9" xfId="60" applyFont="1" applyFill="1" applyBorder="1" applyAlignment="1">
      <alignment horizontal="center"/>
    </xf>
    <xf numFmtId="0" fontId="100" fillId="5" borderId="75" xfId="60" applyFont="1" applyFill="1" applyBorder="1" applyAlignment="1">
      <alignment horizontal="center" vertical="center" wrapText="1"/>
    </xf>
    <xf numFmtId="0" fontId="100" fillId="5" borderId="69" xfId="60" applyFont="1" applyFill="1" applyBorder="1" applyAlignment="1">
      <alignment horizontal="center" vertical="center" wrapText="1"/>
    </xf>
    <xf numFmtId="0" fontId="95" fillId="0" borderId="13" xfId="60" applyFont="1" applyBorder="1" applyAlignment="1">
      <alignment horizontal="center"/>
    </xf>
    <xf numFmtId="0" fontId="95" fillId="0" borderId="63" xfId="60" applyFont="1" applyBorder="1" applyAlignment="1">
      <alignment horizontal="center"/>
    </xf>
    <xf numFmtId="0" fontId="104" fillId="0" borderId="13" xfId="60" applyFont="1" applyBorder="1" applyAlignment="1">
      <alignment horizontal="center"/>
    </xf>
    <xf numFmtId="0" fontId="104" fillId="0" borderId="63" xfId="60" applyFont="1" applyBorder="1" applyAlignment="1">
      <alignment horizontal="center"/>
    </xf>
    <xf numFmtId="0" fontId="95" fillId="3" borderId="0" xfId="60" applyFont="1" applyFill="1" applyAlignment="1">
      <alignment horizontal="center" vertical="center"/>
    </xf>
    <xf numFmtId="0" fontId="96" fillId="0" borderId="19" xfId="60" applyFont="1" applyBorder="1" applyAlignment="1">
      <alignment horizontal="center"/>
    </xf>
    <xf numFmtId="0" fontId="96" fillId="0" borderId="62" xfId="60" applyFont="1" applyBorder="1" applyAlignment="1">
      <alignment horizontal="center"/>
    </xf>
    <xf numFmtId="0" fontId="102" fillId="0" borderId="22" xfId="60" applyFont="1" applyBorder="1" applyAlignment="1">
      <alignment horizontal="center" vertical="center"/>
    </xf>
    <xf numFmtId="0" fontId="102" fillId="0" borderId="24" xfId="60" applyFont="1" applyBorder="1" applyAlignment="1">
      <alignment horizontal="center" vertical="center"/>
    </xf>
    <xf numFmtId="0" fontId="102" fillId="0" borderId="25" xfId="60" applyFont="1" applyBorder="1" applyAlignment="1">
      <alignment horizontal="center" vertical="center"/>
    </xf>
    <xf numFmtId="0" fontId="102" fillId="0" borderId="26" xfId="60" applyFont="1" applyBorder="1" applyAlignment="1">
      <alignment horizontal="center" vertical="center"/>
    </xf>
    <xf numFmtId="0" fontId="103" fillId="0" borderId="25" xfId="60" applyFont="1" applyBorder="1" applyAlignment="1">
      <alignment horizontal="center" vertical="center"/>
    </xf>
    <xf numFmtId="0" fontId="103" fillId="0" borderId="26" xfId="60" applyFont="1" applyBorder="1" applyAlignment="1">
      <alignment horizontal="center" vertical="center"/>
    </xf>
    <xf numFmtId="0" fontId="105" fillId="0" borderId="25" xfId="60" applyFont="1" applyBorder="1" applyAlignment="1">
      <alignment horizontal="center" vertical="center"/>
    </xf>
    <xf numFmtId="0" fontId="105" fillId="0" borderId="26" xfId="60" applyFont="1" applyBorder="1" applyAlignment="1">
      <alignment horizontal="center" vertical="center"/>
    </xf>
    <xf numFmtId="0" fontId="103" fillId="0" borderId="28" xfId="60" applyFont="1" applyBorder="1" applyAlignment="1">
      <alignment horizontal="center" vertical="center"/>
    </xf>
    <xf numFmtId="0" fontId="103" fillId="0" borderId="29" xfId="60" applyFont="1" applyBorder="1" applyAlignment="1">
      <alignment horizontal="center" vertical="center"/>
    </xf>
    <xf numFmtId="0" fontId="95" fillId="22" borderId="60" xfId="60" applyFont="1" applyFill="1" applyBorder="1" applyAlignment="1">
      <alignment horizontal="center"/>
    </xf>
    <xf numFmtId="0" fontId="95" fillId="22" borderId="64" xfId="60" applyFont="1" applyFill="1" applyBorder="1" applyAlignment="1">
      <alignment horizontal="center"/>
    </xf>
    <xf numFmtId="0" fontId="100" fillId="5" borderId="71" xfId="60" applyFont="1" applyFill="1" applyBorder="1" applyAlignment="1">
      <alignment horizontal="center" vertical="center" wrapText="1"/>
    </xf>
    <xf numFmtId="0" fontId="100" fillId="5" borderId="9" xfId="60" applyFont="1" applyFill="1" applyBorder="1" applyAlignment="1">
      <alignment horizontal="center" vertical="center" wrapText="1"/>
    </xf>
    <xf numFmtId="0" fontId="72" fillId="0" borderId="0" xfId="60" applyAlignment="1">
      <alignment horizontal="right"/>
    </xf>
    <xf numFmtId="0" fontId="102" fillId="0" borderId="53" xfId="60" applyFont="1" applyBorder="1" applyAlignment="1">
      <alignment horizontal="center" vertical="center"/>
    </xf>
    <xf numFmtId="0" fontId="102" fillId="0" borderId="62" xfId="60" applyFont="1" applyBorder="1" applyAlignment="1">
      <alignment horizontal="center" vertical="center"/>
    </xf>
    <xf numFmtId="0" fontId="102" fillId="0" borderId="55" xfId="60" applyFont="1" applyBorder="1" applyAlignment="1">
      <alignment horizontal="center" vertical="center"/>
    </xf>
    <xf numFmtId="0" fontId="102" fillId="0" borderId="69" xfId="60" applyFont="1" applyBorder="1" applyAlignment="1">
      <alignment horizontal="center" vertical="center"/>
    </xf>
    <xf numFmtId="0" fontId="103" fillId="0" borderId="54" xfId="60" applyFont="1" applyBorder="1" applyAlignment="1">
      <alignment horizontal="center" vertical="center"/>
    </xf>
    <xf numFmtId="0" fontId="103" fillId="0" borderId="63" xfId="60" applyFont="1" applyBorder="1" applyAlignment="1">
      <alignment horizontal="center" vertical="center"/>
    </xf>
    <xf numFmtId="0" fontId="105" fillId="0" borderId="54" xfId="60" applyFont="1" applyBorder="1" applyAlignment="1">
      <alignment horizontal="center" vertical="center"/>
    </xf>
    <xf numFmtId="0" fontId="105" fillId="0" borderId="63" xfId="60" applyFont="1" applyBorder="1" applyAlignment="1">
      <alignment horizontal="center" vertical="center"/>
    </xf>
    <xf numFmtId="0" fontId="103" fillId="0" borderId="59" xfId="60" applyFont="1" applyBorder="1" applyAlignment="1">
      <alignment horizontal="center" vertical="center"/>
    </xf>
    <xf numFmtId="0" fontId="103" fillId="0" borderId="64" xfId="60" applyFont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31" fillId="0" borderId="79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31" fillId="0" borderId="81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1" fillId="9" borderId="14" xfId="0" applyFont="1" applyFill="1" applyBorder="1" applyAlignment="1">
      <alignment horizontal="center" vertical="center" wrapText="1"/>
    </xf>
    <xf numFmtId="0" fontId="31" fillId="9" borderId="12" xfId="0" applyFont="1" applyFill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1" fontId="74" fillId="2" borderId="13" xfId="0" applyNumberFormat="1" applyFont="1" applyFill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/>
    </xf>
    <xf numFmtId="0" fontId="28" fillId="0" borderId="13" xfId="0" quotePrefix="1" applyFont="1" applyBorder="1" applyAlignment="1">
      <alignment horizontal="center" vertical="center"/>
    </xf>
    <xf numFmtId="16" fontId="28" fillId="0" borderId="13" xfId="0" quotePrefix="1" applyNumberFormat="1" applyFont="1" applyBorder="1" applyAlignment="1">
      <alignment horizontal="center" vertical="center"/>
    </xf>
    <xf numFmtId="0" fontId="32" fillId="2" borderId="15" xfId="0" applyFont="1" applyFill="1" applyBorder="1" applyAlignment="1">
      <alignment horizontal="center" vertical="center"/>
    </xf>
    <xf numFmtId="0" fontId="32" fillId="2" borderId="18" xfId="0" applyFont="1" applyFill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2" borderId="13" xfId="0" applyFont="1" applyFill="1" applyBorder="1" applyAlignment="1">
      <alignment horizontal="center" vertical="center" wrapText="1"/>
    </xf>
    <xf numFmtId="0" fontId="32" fillId="2" borderId="13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32" fillId="2" borderId="77" xfId="0" applyFont="1" applyFill="1" applyBorder="1" applyAlignment="1">
      <alignment horizontal="center" vertical="center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6" fillId="0" borderId="22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9" xfId="0" applyFont="1" applyBorder="1" applyAlignment="1">
      <alignment horizontal="center" vertical="center" wrapText="1"/>
    </xf>
    <xf numFmtId="0" fontId="32" fillId="2" borderId="77" xfId="0" applyFont="1" applyFill="1" applyBorder="1" applyAlignment="1">
      <alignment horizontal="left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0" fontId="69" fillId="2" borderId="13" xfId="0" applyFont="1" applyFill="1" applyBorder="1" applyAlignment="1">
      <alignment horizontal="center" vertical="center" wrapText="1"/>
    </xf>
    <xf numFmtId="1" fontId="32" fillId="2" borderId="78" xfId="0" applyNumberFormat="1" applyFont="1" applyFill="1" applyBorder="1" applyAlignment="1">
      <alignment horizontal="center" vertical="center" wrapText="1"/>
    </xf>
    <xf numFmtId="1" fontId="32" fillId="2" borderId="44" xfId="0" applyNumberFormat="1" applyFont="1" applyFill="1" applyBorder="1" applyAlignment="1">
      <alignment horizontal="center" vertical="center" wrapText="1"/>
    </xf>
    <xf numFmtId="1" fontId="32" fillId="2" borderId="9" xfId="0" applyNumberFormat="1" applyFont="1" applyFill="1" applyBorder="1" applyAlignment="1">
      <alignment horizontal="center" vertical="center" wrapText="1"/>
    </xf>
    <xf numFmtId="174" fontId="27" fillId="0" borderId="14" xfId="0" quotePrefix="1" applyNumberFormat="1" applyFont="1" applyBorder="1" applyAlignment="1">
      <alignment horizontal="center" vertical="center" wrapText="1"/>
    </xf>
    <xf numFmtId="174" fontId="27" fillId="0" borderId="12" xfId="0" quotePrefix="1" applyNumberFormat="1" applyFont="1" applyBorder="1" applyAlignment="1">
      <alignment horizontal="center" vertical="center" wrapText="1"/>
    </xf>
    <xf numFmtId="0" fontId="32" fillId="0" borderId="14" xfId="0" quotePrefix="1" applyFont="1" applyBorder="1" applyAlignment="1">
      <alignment horizontal="center" vertical="center" wrapText="1"/>
    </xf>
    <xf numFmtId="0" fontId="32" fillId="0" borderId="11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74" fillId="0" borderId="78" xfId="0" applyNumberFormat="1" applyFont="1" applyBorder="1" applyAlignment="1">
      <alignment horizontal="center" vertical="center" wrapText="1"/>
    </xf>
    <xf numFmtId="1" fontId="74" fillId="0" borderId="44" xfId="0" applyNumberFormat="1" applyFont="1" applyBorder="1" applyAlignment="1">
      <alignment horizontal="center" vertical="center" wrapText="1"/>
    </xf>
    <xf numFmtId="1" fontId="74" fillId="0" borderId="9" xfId="0" applyNumberFormat="1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71" fillId="14" borderId="13" xfId="0" applyFont="1" applyFill="1" applyBorder="1" applyAlignment="1">
      <alignment horizontal="center" vertical="center"/>
    </xf>
    <xf numFmtId="0" fontId="27" fillId="0" borderId="23" xfId="0" applyFont="1" applyBorder="1" applyAlignment="1">
      <alignment horizontal="left"/>
    </xf>
    <xf numFmtId="0" fontId="27" fillId="0" borderId="30" xfId="0" applyFont="1" applyBorder="1" applyAlignment="1">
      <alignment horizontal="center"/>
    </xf>
    <xf numFmtId="0" fontId="27" fillId="0" borderId="31" xfId="0" applyFont="1" applyBorder="1" applyAlignment="1">
      <alignment horizontal="center"/>
    </xf>
  </cellXfs>
  <cellStyles count="71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Bad 2" xfId="63" xr:uid="{00000000-0005-0000-0000-000008000000}"/>
    <cellStyle name="Column_Title" xfId="11" xr:uid="{00000000-0005-0000-0000-000009000000}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5" xr:uid="{ACC3A282-6C6B-470E-80C5-044D6EB49711}"/>
    <cellStyle name="Normal 133" xfId="1" xr:uid="{00000000-0005-0000-0000-00001A000000}"/>
    <cellStyle name="Normal 145" xfId="68" xr:uid="{D1727E27-D396-4978-BAF0-251032D58E5D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3 2 2" xfId="69" xr:uid="{228566E6-B716-4DA1-86E7-86E247527B97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 5" xfId="66" xr:uid="{642C6F65-0EAE-4611-A5AC-71B8669B5BFD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4" xr:uid="{1AC21914-C5C3-4708-8581-023232DF220C}"/>
    <cellStyle name="Normal 8 2" xfId="62" xr:uid="{00000000-0005-0000-0000-000028000000}"/>
    <cellStyle name="Normal 9" xfId="61" xr:uid="{00000000-0005-0000-0000-000029000000}"/>
    <cellStyle name="Normal 9 2" xfId="67" xr:uid="{04F317EA-8C3B-420B-94D0-5DE105673C0B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andaard 6" xfId="70" xr:uid="{C17968DA-DF86-4C86-BEBC-7A4FCC649938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ustomXml" Target="../ink/ink1.xml"/><Relationship Id="rId2" Type="http://schemas.openxmlformats.org/officeDocument/2006/relationships/image" Target="../media/image8.png"/><Relationship Id="rId1" Type="http://schemas.openxmlformats.org/officeDocument/2006/relationships/image" Target="../media/image5.pn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142875</xdr:colOff>
      <xdr:row>3</xdr:row>
      <xdr:rowOff>422717</xdr:rowOff>
    </xdr:from>
    <xdr:to>
      <xdr:col>15</xdr:col>
      <xdr:colOff>3810000</xdr:colOff>
      <xdr:row>7</xdr:row>
      <xdr:rowOff>1234412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767D08-113A-C590-4D47-231DBF9C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80500" y="1375217"/>
          <a:ext cx="5095875" cy="3685070"/>
        </a:xfrm>
        <a:prstGeom prst="rect">
          <a:avLst/>
        </a:prstGeom>
      </xdr:spPr>
    </xdr:pic>
    <xdr:clientData/>
  </xdr:twoCellAnchor>
  <xdr:twoCellAnchor editAs="oneCell">
    <xdr:from>
      <xdr:col>12</xdr:col>
      <xdr:colOff>809625</xdr:colOff>
      <xdr:row>69</xdr:row>
      <xdr:rowOff>539750</xdr:rowOff>
    </xdr:from>
    <xdr:to>
      <xdr:col>15</xdr:col>
      <xdr:colOff>2174875</xdr:colOff>
      <xdr:row>85</xdr:row>
      <xdr:rowOff>414820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49B4E4-0D8D-4595-825E-818677FA6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45375" y="38290500"/>
          <a:ext cx="5095875" cy="36850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10461626</xdr:colOff>
      <xdr:row>0</xdr:row>
      <xdr:rowOff>254000</xdr:rowOff>
    </xdr:from>
    <xdr:to>
      <xdr:col>1</xdr:col>
      <xdr:colOff>13319126</xdr:colOff>
      <xdr:row>3</xdr:row>
      <xdr:rowOff>272519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8A1C12-E1F4-4480-9D59-44E018621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98626" y="254000"/>
          <a:ext cx="2857500" cy="20663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245894</xdr:colOff>
      <xdr:row>1</xdr:row>
      <xdr:rowOff>128073</xdr:rowOff>
    </xdr:from>
    <xdr:to>
      <xdr:col>2</xdr:col>
      <xdr:colOff>1007894</xdr:colOff>
      <xdr:row>6</xdr:row>
      <xdr:rowOff>129940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446860-7589-4016-B412-9B072AFAB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894" y="331273"/>
          <a:ext cx="5499100" cy="11766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236369</xdr:colOff>
      <xdr:row>1</xdr:row>
      <xdr:rowOff>134377</xdr:rowOff>
    </xdr:from>
    <xdr:to>
      <xdr:col>2</xdr:col>
      <xdr:colOff>1734871</xdr:colOff>
      <xdr:row>6</xdr:row>
      <xdr:rowOff>134339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8C0046-7CE7-4A9C-9A5D-6689D11F3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369" y="337577"/>
          <a:ext cx="5524402" cy="1174712"/>
        </a:xfrm>
        <a:prstGeom prst="rect">
          <a:avLst/>
        </a:prstGeom>
      </xdr:spPr>
    </xdr:pic>
    <xdr:clientData/>
  </xdr:twoCellAnchor>
  <xdr:twoCellAnchor editAs="oneCell">
    <xdr:from>
      <xdr:col>0</xdr:col>
      <xdr:colOff>894752</xdr:colOff>
      <xdr:row>10</xdr:row>
      <xdr:rowOff>-1</xdr:rowOff>
    </xdr:from>
    <xdr:to>
      <xdr:col>11</xdr:col>
      <xdr:colOff>894752</xdr:colOff>
      <xdr:row>55</xdr:row>
      <xdr:rowOff>54079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0A9A0D-5508-44AF-A17C-ACA897366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4752" y="2292349"/>
          <a:ext cx="16757650" cy="11484080"/>
        </a:xfrm>
        <a:prstGeom prst="rect">
          <a:avLst/>
        </a:prstGeom>
      </xdr:spPr>
    </xdr:pic>
    <xdr:clientData/>
  </xdr:twoCellAnchor>
  <xdr:twoCellAnchor editAs="oneCell">
    <xdr:from>
      <xdr:col>1</xdr:col>
      <xdr:colOff>669156</xdr:colOff>
      <xdr:row>54</xdr:row>
      <xdr:rowOff>227497</xdr:rowOff>
    </xdr:from>
    <xdr:to>
      <xdr:col>9</xdr:col>
      <xdr:colOff>1126055</xdr:colOff>
      <xdr:row>103</xdr:row>
      <xdr:rowOff>243125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F29276-B319-4DAB-BED2-5F9A6FF5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82106" y="13695847"/>
          <a:ext cx="12521899" cy="124616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43960</xdr:colOff>
      <xdr:row>1</xdr:row>
      <xdr:rowOff>94958</xdr:rowOff>
    </xdr:from>
    <xdr:to>
      <xdr:col>3</xdr:col>
      <xdr:colOff>20367</xdr:colOff>
      <xdr:row>6</xdr:row>
      <xdr:rowOff>93015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5D4276-3BCA-49DC-B8EC-F7D92B93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360" y="298158"/>
          <a:ext cx="5513607" cy="1172807"/>
        </a:xfrm>
        <a:prstGeom prst="rect">
          <a:avLst/>
        </a:prstGeom>
      </xdr:spPr>
    </xdr:pic>
    <xdr:clientData/>
  </xdr:twoCellAnchor>
  <xdr:oneCellAnchor>
    <xdr:from>
      <xdr:col>9</xdr:col>
      <xdr:colOff>93050</xdr:colOff>
      <xdr:row>28</xdr:row>
      <xdr:rowOff>35605</xdr:rowOff>
    </xdr:from>
    <xdr:ext cx="2488630" cy="74982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05F6A89-E545-462E-8B00-CE236296F2C2}"/>
            </a:ext>
          </a:extLst>
        </xdr:cNvPr>
        <xdr:cNvSpPr txBox="1"/>
      </xdr:nvSpPr>
      <xdr:spPr>
        <a:xfrm>
          <a:off x="14247200" y="5814105"/>
          <a:ext cx="2488630" cy="749821"/>
        </a:xfrm>
        <a:prstGeom prst="rect">
          <a:avLst/>
        </a:prstGeom>
        <a:solidFill>
          <a:srgbClr val="FFFD78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400"/>
            <a:t>(REFERENCE</a:t>
          </a:r>
          <a:r>
            <a:rPr lang="en-US" sz="1400" baseline="0"/>
            <a:t> FOR FLAT VIEW)</a:t>
          </a:r>
        </a:p>
        <a:p>
          <a:pPr algn="ctr"/>
          <a:r>
            <a:rPr lang="en-US" sz="1400" baseline="0"/>
            <a:t>FINISHED GARMENT / PATTERN</a:t>
          </a:r>
        </a:p>
        <a:p>
          <a:pPr algn="ctr"/>
          <a:r>
            <a:rPr lang="en-US" sz="1400" baseline="0"/>
            <a:t>SHOULD LOOK LIKE BELOW</a:t>
          </a:r>
          <a:endParaRPr lang="en-US" sz="1400"/>
        </a:p>
      </xdr:txBody>
    </xdr:sp>
    <xdr:clientData/>
  </xdr:oneCellAnchor>
  <xdr:twoCellAnchor editAs="oneCell">
    <xdr:from>
      <xdr:col>2</xdr:col>
      <xdr:colOff>576792</xdr:colOff>
      <xdr:row>43</xdr:row>
      <xdr:rowOff>7897</xdr:rowOff>
    </xdr:from>
    <xdr:to>
      <xdr:col>12</xdr:col>
      <xdr:colOff>427496</xdr:colOff>
      <xdr:row>79</xdr:row>
      <xdr:rowOff>112377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39F253-00B4-4B81-AE1B-DF0923A2B6A3}"/>
            </a:ext>
            <a:ext uri="{147F2762-F138-4A5C-976F-8EAC2B608ADB}">
              <a16:predDERef xmlns:a16="http://schemas.microsoft.com/office/drawing/2014/main" pred="{405F6A89-E545-462E-8B00-CE236296F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91467" y="14095372"/>
          <a:ext cx="11699804" cy="6962480"/>
        </a:xfrm>
        <a:prstGeom prst="rect">
          <a:avLst/>
        </a:prstGeom>
      </xdr:spPr>
    </xdr:pic>
    <xdr:clientData/>
  </xdr:twoCellAnchor>
  <xdr:twoCellAnchor editAs="oneCell">
    <xdr:from>
      <xdr:col>28</xdr:col>
      <xdr:colOff>333175</xdr:colOff>
      <xdr:row>17</xdr:row>
      <xdr:rowOff>124098</xdr:rowOff>
    </xdr:from>
    <xdr:to>
      <xdr:col>28</xdr:col>
      <xdr:colOff>333535</xdr:colOff>
      <xdr:row>17</xdr:row>
      <xdr:rowOff>124458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C5FF5B8-3B1D-4EF7-A9FF-BF1BC86DDF3A}"/>
                </a:ext>
              </a:extLst>
            </xdr14:cNvPr>
            <xdr14:cNvContentPartPr/>
          </xdr14:nvContentPartPr>
          <xdr14:nvPr macro=""/>
          <xdr14:xfrm>
            <a:off x="26944560" y="3787560"/>
            <a:ext cx="360" cy="36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A4983F2C-88DC-100B-917E-C22E8057049D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6938440" y="3781440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273297</xdr:colOff>
      <xdr:row>1</xdr:row>
      <xdr:rowOff>58616</xdr:rowOff>
    </xdr:from>
    <xdr:to>
      <xdr:col>3</xdr:col>
      <xdr:colOff>549815</xdr:colOff>
      <xdr:row>6</xdr:row>
      <xdr:rowOff>54768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C11150-37D7-4E75-BC44-BD39CA018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297" y="261816"/>
          <a:ext cx="5407318" cy="1170902"/>
        </a:xfrm>
        <a:prstGeom prst="rect">
          <a:avLst/>
        </a:prstGeom>
      </xdr:spPr>
    </xdr:pic>
    <xdr:clientData/>
  </xdr:twoCellAnchor>
  <xdr:oneCellAnchor>
    <xdr:from>
      <xdr:col>8</xdr:col>
      <xdr:colOff>676062</xdr:colOff>
      <xdr:row>31</xdr:row>
      <xdr:rowOff>87924</xdr:rowOff>
    </xdr:from>
    <xdr:ext cx="2976457" cy="31149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F9B8B1F-A989-4376-AF1E-625AB757FFA0}"/>
            </a:ext>
          </a:extLst>
        </xdr:cNvPr>
        <xdr:cNvSpPr txBox="1"/>
      </xdr:nvSpPr>
      <xdr:spPr>
        <a:xfrm>
          <a:off x="13382412" y="6463324"/>
          <a:ext cx="2976457" cy="311496"/>
        </a:xfrm>
        <a:prstGeom prst="rect">
          <a:avLst/>
        </a:prstGeom>
        <a:solidFill>
          <a:srgbClr val="FFFD78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400"/>
            <a:t>BULK</a:t>
          </a:r>
          <a:r>
            <a:rPr lang="en-US" sz="1400" baseline="0"/>
            <a:t> WILL ONLY HAVE 2-SIZE BREAKS</a:t>
          </a:r>
          <a:endParaRPr lang="en-US" sz="14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134</xdr:row>
      <xdr:rowOff>120650</xdr:rowOff>
    </xdr:from>
    <xdr:to>
      <xdr:col>4</xdr:col>
      <xdr:colOff>1270000</xdr:colOff>
      <xdr:row>134</xdr:row>
      <xdr:rowOff>1040636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5" y="57127775"/>
          <a:ext cx="2746375" cy="919986"/>
        </a:xfrm>
        <a:prstGeom prst="rect">
          <a:avLst/>
        </a:prstGeom>
      </xdr:spPr>
    </xdr:pic>
    <xdr:clientData/>
  </xdr:twoCellAnchor>
  <xdr:twoCellAnchor>
    <xdr:from>
      <xdr:col>19</xdr:col>
      <xdr:colOff>158750</xdr:colOff>
      <xdr:row>8</xdr:row>
      <xdr:rowOff>275167</xdr:rowOff>
    </xdr:from>
    <xdr:to>
      <xdr:col>21</xdr:col>
      <xdr:colOff>146258</xdr:colOff>
      <xdr:row>10</xdr:row>
      <xdr:rowOff>272522</xdr:rowOff>
    </xdr:to>
    <xdr:pic>
      <xdr:nvPicPr>
        <xdr:cNvPr id="5" name="Picture 88" descr="Diagram&#10;&#10;Description automatically generated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2438" y="3823230"/>
          <a:ext cx="1225758" cy="783167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</xdr:row>
      <xdr:rowOff>0</xdr:rowOff>
    </xdr:from>
    <xdr:to>
      <xdr:col>21</xdr:col>
      <xdr:colOff>44904</xdr:colOff>
      <xdr:row>5</xdr:row>
      <xdr:rowOff>300125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3688" y="1643063"/>
          <a:ext cx="1283154" cy="776375"/>
        </a:xfrm>
        <a:prstGeom prst="rect">
          <a:avLst/>
        </a:prstGeom>
      </xdr:spPr>
    </xdr:pic>
    <xdr:clientData/>
  </xdr:twoCellAnchor>
  <xdr:twoCellAnchor>
    <xdr:from>
      <xdr:col>19</xdr:col>
      <xdr:colOff>84667</xdr:colOff>
      <xdr:row>10</xdr:row>
      <xdr:rowOff>642938</xdr:rowOff>
    </xdr:from>
    <xdr:to>
      <xdr:col>21</xdr:col>
      <xdr:colOff>184750</xdr:colOff>
      <xdr:row>12</xdr:row>
      <xdr:rowOff>356879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8355" y="4976813"/>
          <a:ext cx="1338333" cy="833129"/>
        </a:xfrm>
        <a:prstGeom prst="rect">
          <a:avLst/>
        </a:prstGeom>
      </xdr:spPr>
    </xdr:pic>
    <xdr:clientData/>
  </xdr:twoCellAnchor>
  <xdr:twoCellAnchor>
    <xdr:from>
      <xdr:col>19</xdr:col>
      <xdr:colOff>74083</xdr:colOff>
      <xdr:row>6</xdr:row>
      <xdr:rowOff>84667</xdr:rowOff>
    </xdr:from>
    <xdr:to>
      <xdr:col>21</xdr:col>
      <xdr:colOff>161305</xdr:colOff>
      <xdr:row>7</xdr:row>
      <xdr:rowOff>412012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7771" y="2680230"/>
          <a:ext cx="1325472" cy="803595"/>
        </a:xfrm>
        <a:prstGeom prst="rect">
          <a:avLst/>
        </a:prstGeom>
      </xdr:spPr>
    </xdr:pic>
    <xdr:clientData/>
  </xdr:twoCellAnchor>
  <xdr:twoCellAnchor>
    <xdr:from>
      <xdr:col>12</xdr:col>
      <xdr:colOff>261937</xdr:colOff>
      <xdr:row>3</xdr:row>
      <xdr:rowOff>404812</xdr:rowOff>
    </xdr:from>
    <xdr:to>
      <xdr:col>15</xdr:col>
      <xdr:colOff>1083155</xdr:colOff>
      <xdr:row>7</xdr:row>
      <xdr:rowOff>304799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3875" y="1547812"/>
          <a:ext cx="3583468" cy="1828800"/>
        </a:xfrm>
        <a:prstGeom prst="rect">
          <a:avLst/>
        </a:prstGeom>
      </xdr:spPr>
    </xdr:pic>
    <xdr:clientData/>
  </xdr:twoCellAnchor>
  <xdr:twoCellAnchor>
    <xdr:from>
      <xdr:col>10</xdr:col>
      <xdr:colOff>238124</xdr:colOff>
      <xdr:row>127</xdr:row>
      <xdr:rowOff>71437</xdr:rowOff>
    </xdr:from>
    <xdr:to>
      <xdr:col>15</xdr:col>
      <xdr:colOff>1095374</xdr:colOff>
      <xdr:row>131</xdr:row>
      <xdr:rowOff>728662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5937" y="90035062"/>
          <a:ext cx="6143625" cy="3657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63500</xdr:rowOff>
    </xdr:from>
    <xdr:to>
      <xdr:col>2</xdr:col>
      <xdr:colOff>228600</xdr:colOff>
      <xdr:row>8</xdr:row>
      <xdr:rowOff>16535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00"/>
          <a:ext cx="2578100" cy="162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DEVELOPMENT-DevelopmentReporting/Shared%20Documents/DEVELOPMENT%20CUSTOMERS/MSCHF/2-SS25/1-SAMPLE/2-STYLE-FILE/TECH%20PACK/TP%20RECEIVED/MSCHF_cinch%20top%20NEW%205.22.24.xlsx" TargetMode="External"/><Relationship Id="rId1" Type="http://schemas.openxmlformats.org/officeDocument/2006/relationships/externalLinkPath" Target="/sites/DEVELOPMENT-DevelopmentReporting/Shared%20Documents/DEVELOPMENT%20CUSTOMERS/MSCHF/2-SS25/1-SAMPLE/2-STYLE-FILE/TECH%20PACK/TP%20RECEIVED/MSCHF_cinch%20top%20NEW%205.22.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-COVER PAGE"/>
      <sheetName val="(OPTION 1) M-BOM"/>
      <sheetName val="(OPTION 1) M-DESIGN"/>
      <sheetName val="M-BOM"/>
      <sheetName val="M-DESIGN"/>
      <sheetName val="M-SPEC"/>
      <sheetName val="M-GRADING ALPHA(S.M)"/>
      <sheetName val="M-Proto COMMENT-NYC"/>
      <sheetName val="M-Mock COMMENT-NYC"/>
      <sheetName val="M-SMS COMMENT-NYC"/>
      <sheetName val="M-PP COMMENT-NYC"/>
    </sheetNames>
    <sheetDataSet>
      <sheetData sheetId="0">
        <row r="2">
          <cell r="D2" t="str">
            <v>Factory</v>
          </cell>
          <cell r="I2" t="str">
            <v>Sample size</v>
          </cell>
          <cell r="K2" t="str">
            <v>S/M</v>
          </cell>
        </row>
        <row r="3">
          <cell r="D3" t="str">
            <v>Style</v>
          </cell>
          <cell r="F3" t="str">
            <v>MSCHF</v>
          </cell>
          <cell r="I3" t="str">
            <v xml:space="preserve">Size range </v>
          </cell>
          <cell r="K3" t="str">
            <v>S/M, L/XL</v>
          </cell>
        </row>
        <row r="4">
          <cell r="D4" t="str">
            <v xml:space="preserve"> Description</v>
          </cell>
          <cell r="F4" t="str">
            <v>CINCHED TOP</v>
          </cell>
        </row>
        <row r="5">
          <cell r="D5" t="str">
            <v>Season</v>
          </cell>
          <cell r="F5" t="str">
            <v>BIG TECH RUNNER</v>
          </cell>
          <cell r="I5" t="str">
            <v>Sample due date</v>
          </cell>
        </row>
        <row r="6">
          <cell r="D6" t="str">
            <v>Date created</v>
          </cell>
          <cell r="F6">
            <v>45367</v>
          </cell>
          <cell r="I6" t="str">
            <v>Reference style</v>
          </cell>
        </row>
        <row r="7">
          <cell r="D7" t="str">
            <v>Date revised</v>
          </cell>
          <cell r="F7" t="str">
            <v>5/14/2024, 5/22/24</v>
          </cell>
          <cell r="I7" t="str">
            <v>STATUS</v>
          </cell>
          <cell r="K7" t="str">
            <v>SUBMIT PROTO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 refreshError="1"/>
      <sheetData sheetId="1" refreshError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5-31T06:15:16.135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0 0 2561,'0'0'0</inkml:trace>
</inkml: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V100"/>
  <sheetViews>
    <sheetView view="pageBreakPreview" topLeftCell="A36" zoomScale="40" zoomScaleNormal="55" zoomScaleSheetLayoutView="40" zoomScalePageLayoutView="40" workbookViewId="0">
      <selection activeCell="B42" sqref="B42:E42"/>
    </sheetView>
  </sheetViews>
  <sheetFormatPr defaultColWidth="9.1796875" defaultRowHeight="16.5"/>
  <cols>
    <col min="1" max="1" width="8.453125" style="314" customWidth="1"/>
    <col min="2" max="2" width="24.54296875" style="314" customWidth="1"/>
    <col min="3" max="3" width="26" style="314" customWidth="1"/>
    <col min="4" max="4" width="32" style="314" customWidth="1"/>
    <col min="5" max="5" width="20.26953125" style="314" bestFit="1" customWidth="1"/>
    <col min="6" max="6" width="25.453125" style="314" bestFit="1" customWidth="1"/>
    <col min="7" max="7" width="17.81640625" style="315" customWidth="1"/>
    <col min="8" max="10" width="27.26953125" style="314" customWidth="1"/>
    <col min="11" max="11" width="21.7265625" style="314" customWidth="1"/>
    <col min="12" max="12" width="18.81640625" style="314" customWidth="1"/>
    <col min="13" max="13" width="19.54296875" style="314" customWidth="1"/>
    <col min="14" max="14" width="13.453125" style="314" customWidth="1"/>
    <col min="15" max="15" width="20.54296875" style="314" customWidth="1"/>
    <col min="16" max="16" width="83.26953125" style="314" customWidth="1"/>
    <col min="17" max="17" width="15" style="314" bestFit="1" customWidth="1"/>
    <col min="18" max="19" width="14.26953125" style="314" bestFit="1" customWidth="1"/>
    <col min="20" max="21" width="11.1796875" style="314" bestFit="1" customWidth="1"/>
    <col min="22" max="22" width="9.1796875" style="314" bestFit="1" customWidth="1"/>
    <col min="23" max="23" width="16.453125" style="314" bestFit="1" customWidth="1"/>
    <col min="24" max="16384" width="9.1796875" style="314"/>
  </cols>
  <sheetData>
    <row r="1" spans="1:16" s="4" customFormat="1" ht="25.9" customHeight="1">
      <c r="A1" s="96"/>
      <c r="B1" s="96"/>
      <c r="C1" s="96"/>
      <c r="D1" s="97"/>
      <c r="E1" s="96"/>
      <c r="F1" s="96"/>
      <c r="G1" s="96"/>
      <c r="H1" s="96"/>
      <c r="I1" s="96"/>
      <c r="J1" s="96"/>
      <c r="K1" s="96"/>
      <c r="L1" s="98"/>
      <c r="M1" s="507" t="s">
        <v>0</v>
      </c>
      <c r="N1" s="507" t="s">
        <v>0</v>
      </c>
      <c r="O1" s="508" t="s">
        <v>1</v>
      </c>
      <c r="P1" s="508"/>
    </row>
    <row r="2" spans="1:16" s="4" customFormat="1" ht="25.9" customHeight="1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  <c r="L2" s="98"/>
      <c r="M2" s="507" t="s">
        <v>2</v>
      </c>
      <c r="N2" s="507" t="s">
        <v>2</v>
      </c>
      <c r="O2" s="509" t="s">
        <v>3</v>
      </c>
      <c r="P2" s="509"/>
    </row>
    <row r="3" spans="1:16" s="4" customFormat="1" ht="25.9" customHeight="1">
      <c r="A3" s="96"/>
      <c r="B3" s="96"/>
      <c r="C3" s="96"/>
      <c r="D3" s="96"/>
      <c r="E3" s="96"/>
      <c r="F3" s="96"/>
      <c r="G3" s="96"/>
      <c r="H3" s="96"/>
      <c r="I3" s="96"/>
      <c r="J3" s="96"/>
      <c r="K3" s="96"/>
      <c r="L3" s="98"/>
      <c r="M3" s="507" t="s">
        <v>4</v>
      </c>
      <c r="N3" s="507" t="s">
        <v>4</v>
      </c>
      <c r="O3" s="510" t="s">
        <v>5</v>
      </c>
      <c r="P3" s="508"/>
    </row>
    <row r="4" spans="1:16" s="5" customFormat="1" ht="42" thickBot="1">
      <c r="B4" s="205" t="s">
        <v>6</v>
      </c>
      <c r="C4" s="218"/>
      <c r="D4" s="218"/>
      <c r="E4" s="218"/>
      <c r="F4" s="218"/>
      <c r="G4" s="7"/>
    </row>
    <row r="5" spans="1:16" s="202" customFormat="1" ht="63.75" customHeight="1">
      <c r="B5" s="219" t="s">
        <v>7</v>
      </c>
      <c r="C5" s="219"/>
      <c r="D5" s="220"/>
      <c r="E5" s="221"/>
      <c r="F5" s="222"/>
      <c r="G5" s="488" t="s">
        <v>8</v>
      </c>
      <c r="H5" s="489"/>
      <c r="I5" s="489"/>
      <c r="J5" s="489"/>
      <c r="K5" s="489"/>
      <c r="L5" s="490"/>
      <c r="N5" s="142"/>
      <c r="O5" s="142"/>
    </row>
    <row r="6" spans="1:16" s="202" customFormat="1" ht="63.75" customHeight="1">
      <c r="B6" s="220" t="s">
        <v>9</v>
      </c>
      <c r="C6" s="220"/>
      <c r="D6" s="223" t="s">
        <v>10</v>
      </c>
      <c r="E6" s="224"/>
      <c r="F6" s="220"/>
      <c r="G6" s="491"/>
      <c r="H6" s="492"/>
      <c r="I6" s="492"/>
      <c r="J6" s="492"/>
      <c r="K6" s="492"/>
      <c r="L6" s="493"/>
      <c r="M6" s="142"/>
      <c r="N6" s="142"/>
      <c r="O6" s="142"/>
      <c r="P6" s="142"/>
    </row>
    <row r="7" spans="1:16" s="202" customFormat="1" ht="63.75" customHeight="1">
      <c r="B7" s="220" t="s">
        <v>11</v>
      </c>
      <c r="C7" s="220"/>
      <c r="D7" s="223" t="s">
        <v>12</v>
      </c>
      <c r="E7" s="225"/>
      <c r="F7" s="220"/>
      <c r="G7" s="491"/>
      <c r="H7" s="492"/>
      <c r="I7" s="492"/>
      <c r="J7" s="492"/>
      <c r="K7" s="492"/>
      <c r="L7" s="493"/>
      <c r="M7" s="142"/>
      <c r="N7" s="142"/>
      <c r="O7" s="142"/>
      <c r="P7" s="142"/>
    </row>
    <row r="8" spans="1:16" s="202" customFormat="1" ht="97.5" customHeight="1" thickBot="1">
      <c r="B8" s="220" t="s">
        <v>13</v>
      </c>
      <c r="C8" s="220"/>
      <c r="D8" s="505" t="s">
        <v>14</v>
      </c>
      <c r="E8" s="505"/>
      <c r="F8" s="506"/>
      <c r="G8" s="494"/>
      <c r="H8" s="495"/>
      <c r="I8" s="495"/>
      <c r="J8" s="495"/>
      <c r="K8" s="495"/>
      <c r="L8" s="496"/>
      <c r="M8" s="142"/>
      <c r="N8" s="142"/>
      <c r="O8" s="142"/>
      <c r="P8" s="142"/>
    </row>
    <row r="9" spans="1:16" s="203" customFormat="1" ht="56.25" customHeight="1">
      <c r="B9" s="225" t="s">
        <v>15</v>
      </c>
      <c r="C9" s="225"/>
      <c r="D9" s="220" t="s">
        <v>16</v>
      </c>
      <c r="E9" s="220"/>
      <c r="F9" s="220"/>
      <c r="G9" s="204"/>
      <c r="H9" s="16"/>
      <c r="I9" s="16"/>
      <c r="J9" s="16"/>
      <c r="K9" s="16"/>
      <c r="L9" s="16"/>
      <c r="M9" s="16"/>
      <c r="N9" s="16"/>
      <c r="O9" s="16"/>
      <c r="P9" s="16"/>
    </row>
    <row r="10" spans="1:16" s="14" customFormat="1" ht="56.25" customHeight="1">
      <c r="B10" s="407" t="s">
        <v>17</v>
      </c>
      <c r="C10" s="407"/>
      <c r="D10" s="408" t="s">
        <v>18</v>
      </c>
      <c r="E10" s="408"/>
      <c r="F10" s="408"/>
      <c r="G10" s="409"/>
      <c r="H10" s="408"/>
      <c r="I10" s="410"/>
      <c r="J10" s="410" t="s">
        <v>19</v>
      </c>
      <c r="K10" s="410"/>
      <c r="L10" s="410" t="s">
        <v>20</v>
      </c>
      <c r="M10" s="411"/>
      <c r="N10" s="411"/>
      <c r="O10" s="411"/>
      <c r="P10" s="411"/>
    </row>
    <row r="11" spans="1:16" s="14" customFormat="1" ht="77.25" customHeight="1">
      <c r="B11" s="410" t="s">
        <v>21</v>
      </c>
      <c r="C11" s="410"/>
      <c r="D11" s="412">
        <v>45434</v>
      </c>
      <c r="E11" s="413"/>
      <c r="F11" s="413"/>
      <c r="G11" s="414"/>
      <c r="H11" s="415"/>
      <c r="I11" s="410"/>
      <c r="J11" s="410" t="s">
        <v>22</v>
      </c>
      <c r="K11" s="410"/>
      <c r="L11" s="503" t="s">
        <v>23</v>
      </c>
      <c r="M11" s="503"/>
      <c r="N11" s="503"/>
      <c r="O11" s="503"/>
      <c r="P11" s="503"/>
    </row>
    <row r="12" spans="1:16" s="14" customFormat="1" ht="56.25" customHeight="1">
      <c r="B12" s="410" t="s">
        <v>24</v>
      </c>
      <c r="C12" s="410"/>
      <c r="D12" s="416"/>
      <c r="E12" s="410"/>
      <c r="F12" s="410"/>
      <c r="G12" s="417"/>
      <c r="H12" s="418"/>
      <c r="I12" s="410"/>
      <c r="J12" s="410" t="s">
        <v>25</v>
      </c>
      <c r="K12" s="218"/>
      <c r="L12" s="410" t="s">
        <v>26</v>
      </c>
      <c r="M12" s="410"/>
      <c r="N12" s="418"/>
      <c r="O12" s="418"/>
      <c r="P12" s="419"/>
    </row>
    <row r="13" spans="1:16" s="14" customFormat="1" ht="56.25" customHeight="1">
      <c r="B13" s="497"/>
      <c r="C13" s="497"/>
      <c r="D13" s="497"/>
      <c r="E13" s="497"/>
      <c r="F13" s="497"/>
      <c r="G13" s="417"/>
      <c r="H13" s="418"/>
      <c r="I13" s="410"/>
      <c r="J13" s="410" t="s">
        <v>27</v>
      </c>
      <c r="K13" s="410"/>
      <c r="L13" s="410" t="s">
        <v>28</v>
      </c>
      <c r="M13" s="418"/>
      <c r="N13" s="411"/>
      <c r="O13" s="411"/>
      <c r="P13" s="418"/>
    </row>
    <row r="14" spans="1:16" s="14" customFormat="1" ht="56.25" customHeight="1">
      <c r="B14" s="410" t="s">
        <v>29</v>
      </c>
      <c r="C14" s="410"/>
      <c r="D14" s="410" t="s">
        <v>30</v>
      </c>
      <c r="E14" s="410"/>
      <c r="F14" s="410"/>
      <c r="G14" s="420"/>
      <c r="H14" s="410"/>
      <c r="I14" s="410"/>
      <c r="J14" s="410" t="s">
        <v>31</v>
      </c>
      <c r="K14" s="410"/>
      <c r="L14" s="411" t="s">
        <v>32</v>
      </c>
      <c r="M14" s="411"/>
      <c r="N14" s="411"/>
      <c r="O14" s="411"/>
      <c r="P14" s="411"/>
    </row>
    <row r="15" spans="1:16" s="14" customFormat="1" ht="56.25" customHeight="1">
      <c r="B15" s="225" t="s">
        <v>33</v>
      </c>
      <c r="C15" s="225"/>
      <c r="D15" s="225"/>
      <c r="E15" s="226"/>
      <c r="F15" s="226"/>
      <c r="G15" s="228"/>
      <c r="H15" s="226"/>
      <c r="I15" s="226"/>
      <c r="J15" s="226"/>
      <c r="K15" s="226"/>
      <c r="L15" s="226"/>
      <c r="M15" s="226"/>
      <c r="N15" s="226"/>
      <c r="O15" s="226"/>
      <c r="P15" s="226"/>
    </row>
    <row r="16" spans="1:16" s="21" customFormat="1" ht="18.75" customHeight="1"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</row>
    <row r="17" spans="2:22" s="269" customFormat="1" ht="51.75" customHeight="1">
      <c r="B17" s="302"/>
      <c r="C17" s="303" t="s">
        <v>34</v>
      </c>
      <c r="D17" s="303" t="s">
        <v>35</v>
      </c>
      <c r="E17" s="277" t="s">
        <v>36</v>
      </c>
      <c r="F17" s="277"/>
      <c r="G17" s="277" t="s">
        <v>37</v>
      </c>
      <c r="H17" s="277" t="s">
        <v>38</v>
      </c>
      <c r="I17" s="277" t="s">
        <v>39</v>
      </c>
      <c r="J17" s="277" t="s">
        <v>40</v>
      </c>
      <c r="K17" s="277" t="s">
        <v>41</v>
      </c>
      <c r="L17" s="277" t="s">
        <v>42</v>
      </c>
      <c r="M17" s="277"/>
      <c r="N17" s="277"/>
      <c r="O17" s="277"/>
      <c r="P17" s="302" t="s">
        <v>43</v>
      </c>
    </row>
    <row r="18" spans="2:22" s="269" customFormat="1" ht="51.75" customHeight="1">
      <c r="B18" s="304" t="s">
        <v>44</v>
      </c>
      <c r="C18" s="304"/>
      <c r="D18" s="278" t="s">
        <v>45</v>
      </c>
      <c r="E18" s="279"/>
      <c r="F18" s="280"/>
      <c r="G18" s="305">
        <v>0</v>
      </c>
      <c r="H18" s="305">
        <v>0</v>
      </c>
      <c r="I18" s="305">
        <v>1</v>
      </c>
      <c r="J18" s="305">
        <v>0</v>
      </c>
      <c r="K18" s="305">
        <v>0</v>
      </c>
      <c r="L18" s="305">
        <v>0</v>
      </c>
      <c r="M18" s="280"/>
      <c r="N18" s="280"/>
      <c r="O18" s="280"/>
      <c r="P18" s="281">
        <f>SUM(G18:O18)</f>
        <v>1</v>
      </c>
      <c r="Q18" s="282"/>
      <c r="R18" s="282"/>
      <c r="S18" s="282"/>
      <c r="T18" s="282"/>
      <c r="U18" s="282"/>
      <c r="V18" s="282"/>
    </row>
    <row r="19" spans="2:22" s="269" customFormat="1" ht="51.75" customHeight="1">
      <c r="B19" s="304" t="s">
        <v>46</v>
      </c>
      <c r="C19" s="304"/>
      <c r="D19" s="283" t="str">
        <f>D18</f>
        <v>BLACK</v>
      </c>
      <c r="E19" s="279"/>
      <c r="F19" s="280"/>
      <c r="G19" s="280">
        <f>ROUNDUP(G18*5%,0)</f>
        <v>0</v>
      </c>
      <c r="H19" s="280">
        <f>ROUNDUP(H18*5%,0)</f>
        <v>0</v>
      </c>
      <c r="I19" s="280">
        <v>1</v>
      </c>
      <c r="J19" s="280">
        <f t="shared" ref="J19:L19" si="0">ROUNDUP(J18*5%,0)</f>
        <v>0</v>
      </c>
      <c r="K19" s="280">
        <f t="shared" si="0"/>
        <v>0</v>
      </c>
      <c r="L19" s="280">
        <f t="shared" si="0"/>
        <v>0</v>
      </c>
      <c r="M19" s="280"/>
      <c r="N19" s="280"/>
      <c r="O19" s="280"/>
      <c r="P19" s="281">
        <f>SUM(G19:O19)</f>
        <v>1</v>
      </c>
    </row>
    <row r="20" spans="2:22" s="268" customFormat="1" ht="51.75" customHeight="1">
      <c r="B20" s="284" t="s">
        <v>47</v>
      </c>
      <c r="C20" s="284"/>
      <c r="D20" s="285" t="str">
        <f>D19</f>
        <v>BLACK</v>
      </c>
      <c r="E20" s="285"/>
      <c r="F20" s="286"/>
      <c r="G20" s="286">
        <f>SUM(G18:G19)</f>
        <v>0</v>
      </c>
      <c r="H20" s="286">
        <f t="shared" ref="H20:L20" si="1">SUM(H18:H19)</f>
        <v>0</v>
      </c>
      <c r="I20" s="286">
        <f t="shared" si="1"/>
        <v>2</v>
      </c>
      <c r="J20" s="286">
        <f t="shared" si="1"/>
        <v>0</v>
      </c>
      <c r="K20" s="286">
        <f t="shared" si="1"/>
        <v>0</v>
      </c>
      <c r="L20" s="286">
        <f t="shared" si="1"/>
        <v>0</v>
      </c>
      <c r="M20" s="286"/>
      <c r="N20" s="286"/>
      <c r="O20" s="286"/>
      <c r="P20" s="286">
        <f>SUM(G20:O20)</f>
        <v>2</v>
      </c>
    </row>
    <row r="21" spans="2:22" s="291" customFormat="1" ht="51.75" hidden="1" customHeight="1">
      <c r="B21" s="287" t="s">
        <v>48</v>
      </c>
      <c r="C21" s="287"/>
      <c r="D21" s="288" t="str">
        <f>D20</f>
        <v>BLACK</v>
      </c>
      <c r="E21" s="288"/>
      <c r="F21" s="289"/>
      <c r="G21" s="289">
        <v>0</v>
      </c>
      <c r="H21" s="289">
        <v>0</v>
      </c>
      <c r="I21" s="289">
        <v>0</v>
      </c>
      <c r="J21" s="289">
        <v>0</v>
      </c>
      <c r="K21" s="289">
        <v>0</v>
      </c>
      <c r="L21" s="289">
        <v>0</v>
      </c>
      <c r="M21" s="290"/>
      <c r="N21" s="290"/>
      <c r="O21" s="290"/>
      <c r="P21" s="290">
        <f>SUM(G21:O21)</f>
        <v>0</v>
      </c>
    </row>
    <row r="22" spans="2:22" s="291" customFormat="1" ht="51.75" hidden="1" customHeight="1">
      <c r="B22" s="292" t="s">
        <v>49</v>
      </c>
      <c r="C22" s="292"/>
      <c r="D22" s="288" t="str">
        <f>D21</f>
        <v>BLACK</v>
      </c>
      <c r="E22" s="288"/>
      <c r="F22" s="289"/>
      <c r="G22" s="289">
        <v>0</v>
      </c>
      <c r="H22" s="289">
        <v>0</v>
      </c>
      <c r="I22" s="289">
        <v>0</v>
      </c>
      <c r="J22" s="289">
        <v>0</v>
      </c>
      <c r="K22" s="289">
        <v>0</v>
      </c>
      <c r="L22" s="289">
        <v>0</v>
      </c>
      <c r="M22" s="290"/>
      <c r="N22" s="290"/>
      <c r="O22" s="290"/>
      <c r="P22" s="290">
        <f>SUM(G22:O22)</f>
        <v>0</v>
      </c>
    </row>
    <row r="23" spans="2:22" s="269" customFormat="1" ht="18" customHeight="1">
      <c r="B23" s="293"/>
      <c r="C23" s="293"/>
      <c r="D23" s="293"/>
      <c r="E23" s="294"/>
      <c r="F23" s="294"/>
      <c r="G23" s="295"/>
      <c r="H23" s="294"/>
      <c r="I23" s="294"/>
      <c r="J23" s="294"/>
      <c r="L23" s="294"/>
      <c r="M23" s="296"/>
      <c r="N23" s="297"/>
      <c r="O23" s="297"/>
      <c r="P23" s="297"/>
    </row>
    <row r="24" spans="2:22" s="269" customFormat="1" ht="55.5" hidden="1" customHeight="1">
      <c r="B24" s="302"/>
      <c r="C24" s="303" t="s">
        <v>34</v>
      </c>
      <c r="D24" s="303" t="s">
        <v>35</v>
      </c>
      <c r="E24" s="277" t="s">
        <v>36</v>
      </c>
      <c r="F24" s="277"/>
      <c r="G24" s="277" t="s">
        <v>37</v>
      </c>
      <c r="H24" s="277" t="s">
        <v>38</v>
      </c>
      <c r="I24" s="277" t="s">
        <v>39</v>
      </c>
      <c r="J24" s="277" t="s">
        <v>40</v>
      </c>
      <c r="K24" s="277" t="s">
        <v>41</v>
      </c>
      <c r="L24" s="277" t="s">
        <v>42</v>
      </c>
      <c r="M24" s="277"/>
      <c r="N24" s="277"/>
      <c r="O24" s="277"/>
      <c r="P24" s="302" t="s">
        <v>43</v>
      </c>
    </row>
    <row r="25" spans="2:22" s="269" customFormat="1" ht="55.5" hidden="1" customHeight="1">
      <c r="B25" s="304" t="s">
        <v>44</v>
      </c>
      <c r="C25" s="304"/>
      <c r="D25" s="278" t="s">
        <v>45</v>
      </c>
      <c r="E25" s="279"/>
      <c r="F25" s="280"/>
      <c r="G25" s="305">
        <v>0</v>
      </c>
      <c r="H25" s="305">
        <v>0</v>
      </c>
      <c r="I25" s="305">
        <v>0</v>
      </c>
      <c r="J25" s="305">
        <v>0</v>
      </c>
      <c r="K25" s="305">
        <v>0</v>
      </c>
      <c r="L25" s="305">
        <v>0</v>
      </c>
      <c r="M25" s="280"/>
      <c r="N25" s="280"/>
      <c r="O25" s="280"/>
      <c r="P25" s="281">
        <f>SUM(G25:O25)</f>
        <v>0</v>
      </c>
      <c r="Q25" s="282"/>
      <c r="R25" s="282"/>
      <c r="S25" s="282"/>
      <c r="T25" s="282"/>
      <c r="U25" s="282"/>
      <c r="V25" s="282"/>
    </row>
    <row r="26" spans="2:22" s="269" customFormat="1" ht="55.5" hidden="1" customHeight="1">
      <c r="B26" s="304" t="s">
        <v>46</v>
      </c>
      <c r="C26" s="304"/>
      <c r="D26" s="283" t="str">
        <f>D25</f>
        <v>BLACK</v>
      </c>
      <c r="E26" s="279"/>
      <c r="F26" s="280"/>
      <c r="G26" s="280">
        <f>ROUNDUP(G25*5%,0)</f>
        <v>0</v>
      </c>
      <c r="H26" s="280">
        <f t="shared" ref="H26:L26" si="2">ROUNDUP(H25*5%,0)</f>
        <v>0</v>
      </c>
      <c r="I26" s="280">
        <f t="shared" si="2"/>
        <v>0</v>
      </c>
      <c r="J26" s="280">
        <f t="shared" si="2"/>
        <v>0</v>
      </c>
      <c r="K26" s="280">
        <f t="shared" si="2"/>
        <v>0</v>
      </c>
      <c r="L26" s="280">
        <f t="shared" si="2"/>
        <v>0</v>
      </c>
      <c r="M26" s="280"/>
      <c r="N26" s="280"/>
      <c r="O26" s="280"/>
      <c r="P26" s="281">
        <f>SUM(G26:O26)</f>
        <v>0</v>
      </c>
    </row>
    <row r="27" spans="2:22" s="268" customFormat="1" ht="55.5" hidden="1" customHeight="1">
      <c r="B27" s="284" t="s">
        <v>47</v>
      </c>
      <c r="C27" s="284"/>
      <c r="D27" s="285" t="str">
        <f>D26</f>
        <v>BLACK</v>
      </c>
      <c r="E27" s="285"/>
      <c r="F27" s="286"/>
      <c r="G27" s="286">
        <f>SUM(G25:G26)</f>
        <v>0</v>
      </c>
      <c r="H27" s="286">
        <f t="shared" ref="H27:L27" si="3">SUM(H25:H26)</f>
        <v>0</v>
      </c>
      <c r="I27" s="286">
        <f t="shared" si="3"/>
        <v>0</v>
      </c>
      <c r="J27" s="286">
        <f t="shared" si="3"/>
        <v>0</v>
      </c>
      <c r="K27" s="286">
        <f t="shared" si="3"/>
        <v>0</v>
      </c>
      <c r="L27" s="286">
        <f t="shared" si="3"/>
        <v>0</v>
      </c>
      <c r="M27" s="286"/>
      <c r="N27" s="286"/>
      <c r="O27" s="286"/>
      <c r="P27" s="286">
        <f>SUM(G27:O27)</f>
        <v>0</v>
      </c>
    </row>
    <row r="28" spans="2:22" s="291" customFormat="1" ht="55.5" hidden="1" customHeight="1">
      <c r="B28" s="287" t="s">
        <v>48</v>
      </c>
      <c r="C28" s="287"/>
      <c r="D28" s="288" t="str">
        <f>D27</f>
        <v>BLACK</v>
      </c>
      <c r="E28" s="288"/>
      <c r="F28" s="289"/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90"/>
      <c r="N28" s="290"/>
      <c r="O28" s="290"/>
      <c r="P28" s="290">
        <f>SUM(G28:O28)</f>
        <v>0</v>
      </c>
    </row>
    <row r="29" spans="2:22" s="291" customFormat="1" ht="55.5" hidden="1" customHeight="1">
      <c r="B29" s="292" t="s">
        <v>49</v>
      </c>
      <c r="C29" s="292"/>
      <c r="D29" s="288" t="str">
        <f>D28</f>
        <v>BLACK</v>
      </c>
      <c r="E29" s="288"/>
      <c r="F29" s="289"/>
      <c r="G29" s="289">
        <v>0</v>
      </c>
      <c r="H29" s="289">
        <v>0</v>
      </c>
      <c r="I29" s="289">
        <v>0</v>
      </c>
      <c r="J29" s="289">
        <v>0</v>
      </c>
      <c r="K29" s="289">
        <v>0</v>
      </c>
      <c r="L29" s="289">
        <v>0</v>
      </c>
      <c r="M29" s="290"/>
      <c r="N29" s="290"/>
      <c r="O29" s="290"/>
      <c r="P29" s="290">
        <f>SUM(G29:O29)</f>
        <v>0</v>
      </c>
    </row>
    <row r="30" spans="2:22" s="269" customFormat="1" ht="55.5" hidden="1" customHeight="1">
      <c r="B30" s="293"/>
      <c r="C30" s="293"/>
      <c r="D30" s="293"/>
      <c r="E30" s="294"/>
      <c r="F30" s="294"/>
      <c r="G30" s="295"/>
      <c r="H30" s="294"/>
      <c r="I30" s="294"/>
      <c r="J30" s="294"/>
      <c r="L30" s="294"/>
      <c r="M30" s="296"/>
      <c r="N30" s="297"/>
      <c r="O30" s="297"/>
      <c r="P30" s="297"/>
    </row>
    <row r="31" spans="2:22" s="268" customFormat="1" ht="51.75" customHeight="1">
      <c r="B31" s="298" t="s">
        <v>50</v>
      </c>
      <c r="C31" s="299"/>
      <c r="D31" s="298"/>
      <c r="E31" s="300"/>
      <c r="F31" s="301"/>
      <c r="G31" s="301">
        <f>SUM(G20,G27)</f>
        <v>0</v>
      </c>
      <c r="H31" s="301">
        <f>SUM(H20,H27)</f>
        <v>0</v>
      </c>
      <c r="I31" s="301">
        <f t="shared" ref="I31:L31" si="4">SUM(I20,I27)</f>
        <v>2</v>
      </c>
      <c r="J31" s="301">
        <f t="shared" si="4"/>
        <v>0</v>
      </c>
      <c r="K31" s="301">
        <f t="shared" si="4"/>
        <v>0</v>
      </c>
      <c r="L31" s="301">
        <f t="shared" si="4"/>
        <v>0</v>
      </c>
      <c r="M31" s="301"/>
      <c r="N31" s="301"/>
      <c r="O31" s="301"/>
      <c r="P31" s="301">
        <f>SUM(G31:O31)</f>
        <v>2</v>
      </c>
    </row>
    <row r="32" spans="2:22" s="36" customFormat="1" ht="53.25" customHeight="1">
      <c r="B32" s="37"/>
      <c r="C32" s="37"/>
      <c r="D32" s="504"/>
      <c r="E32" s="504"/>
      <c r="F32" s="504"/>
      <c r="G32" s="504"/>
      <c r="H32" s="504"/>
      <c r="I32" s="504"/>
      <c r="J32" s="504"/>
      <c r="K32" s="504"/>
      <c r="L32" s="43"/>
      <c r="M32" s="306"/>
      <c r="N32" s="307"/>
      <c r="O32" s="307"/>
      <c r="P32" s="308"/>
    </row>
    <row r="33" spans="1:16" s="4" customFormat="1" ht="30.75" customHeight="1" thickBot="1">
      <c r="B33" s="17" t="s">
        <v>51</v>
      </c>
      <c r="C33" s="309"/>
      <c r="D33" s="309"/>
      <c r="E33" s="309"/>
      <c r="F33" s="46"/>
      <c r="G33" s="47"/>
      <c r="H33" s="46"/>
      <c r="I33" s="46"/>
      <c r="J33" s="46"/>
      <c r="K33" s="46"/>
      <c r="L33" s="46"/>
      <c r="N33" s="48"/>
      <c r="O33" s="48"/>
      <c r="P33" s="310"/>
    </row>
    <row r="34" spans="1:16" s="232" customFormat="1" ht="180.5" thickBot="1">
      <c r="A34" s="498" t="s">
        <v>52</v>
      </c>
      <c r="B34" s="499"/>
      <c r="C34" s="499"/>
      <c r="D34" s="229" t="s">
        <v>53</v>
      </c>
      <c r="E34" s="230" t="s">
        <v>54</v>
      </c>
      <c r="F34" s="229" t="s">
        <v>55</v>
      </c>
      <c r="G34" s="231" t="s">
        <v>56</v>
      </c>
      <c r="H34" s="231" t="s">
        <v>57</v>
      </c>
      <c r="I34" s="231" t="s">
        <v>58</v>
      </c>
      <c r="J34" s="231" t="s">
        <v>59</v>
      </c>
      <c r="K34" s="231" t="s">
        <v>60</v>
      </c>
      <c r="L34" s="231" t="s">
        <v>61</v>
      </c>
      <c r="M34" s="500" t="s">
        <v>62</v>
      </c>
      <c r="N34" s="501"/>
      <c r="O34" s="501"/>
      <c r="P34" s="502"/>
    </row>
    <row r="35" spans="1:16" s="14" customFormat="1" ht="80.25" customHeight="1">
      <c r="A35" s="511" t="str">
        <f>D18</f>
        <v>BLACK</v>
      </c>
      <c r="B35" s="512"/>
      <c r="C35" s="512"/>
      <c r="D35" s="512"/>
      <c r="E35" s="512"/>
      <c r="F35" s="512"/>
      <c r="G35" s="512"/>
      <c r="H35" s="512"/>
      <c r="I35" s="512"/>
      <c r="J35" s="512"/>
      <c r="K35" s="512"/>
      <c r="L35" s="512"/>
      <c r="M35" s="512"/>
      <c r="N35" s="512"/>
      <c r="O35" s="512"/>
      <c r="P35" s="513"/>
    </row>
    <row r="36" spans="1:16" s="5" customFormat="1" ht="381.75" customHeight="1">
      <c r="A36" s="233">
        <v>1</v>
      </c>
      <c r="B36" s="521" t="str">
        <f>L11</f>
        <v>NYLON RIP STOP</v>
      </c>
      <c r="C36" s="521"/>
      <c r="D36" s="235" t="s">
        <v>368</v>
      </c>
      <c r="E36" s="235" t="str">
        <f>D18</f>
        <v>BLACK</v>
      </c>
      <c r="F36" s="236" t="s">
        <v>39</v>
      </c>
      <c r="G36" s="237">
        <f>$P$31</f>
        <v>2</v>
      </c>
      <c r="H36" s="238">
        <v>0.76</v>
      </c>
      <c r="I36" s="239">
        <f>G36*H36</f>
        <v>1.52</v>
      </c>
      <c r="J36" s="237">
        <f>I36/50*0.5+I36*1.55%</f>
        <v>3.8760000000000003E-2</v>
      </c>
      <c r="K36" s="237">
        <v>0</v>
      </c>
      <c r="L36" s="311">
        <f>ROUNDUP(SUM(I36:K36),0)</f>
        <v>2</v>
      </c>
      <c r="M36" s="514"/>
      <c r="N36" s="515"/>
      <c r="O36" s="515"/>
      <c r="P36" s="515"/>
    </row>
    <row r="37" spans="1:16" s="14" customFormat="1" ht="87" hidden="1" customHeight="1">
      <c r="A37" s="59"/>
      <c r="B37" s="213" t="s">
        <v>63</v>
      </c>
      <c r="C37" s="146"/>
      <c r="D37" s="235" t="s">
        <v>368</v>
      </c>
      <c r="E37" s="214"/>
      <c r="F37" s="169"/>
      <c r="G37" s="215"/>
      <c r="H37" s="216"/>
      <c r="I37" s="217"/>
      <c r="J37" s="215"/>
      <c r="K37" s="215"/>
      <c r="L37" s="209"/>
      <c r="M37" s="175"/>
      <c r="N37" s="63"/>
      <c r="O37" s="63"/>
      <c r="P37" s="63"/>
    </row>
    <row r="38" spans="1:16" s="5" customFormat="1" ht="381.75" customHeight="1">
      <c r="A38" s="233">
        <v>1</v>
      </c>
      <c r="B38" s="521" t="s">
        <v>370</v>
      </c>
      <c r="C38" s="521"/>
      <c r="D38" s="235" t="s">
        <v>369</v>
      </c>
      <c r="E38" s="235" t="str">
        <f>D20</f>
        <v>BLACK</v>
      </c>
      <c r="F38" s="236" t="s">
        <v>39</v>
      </c>
      <c r="G38" s="237">
        <f>$P$31</f>
        <v>2</v>
      </c>
      <c r="H38" s="238">
        <v>0.76</v>
      </c>
      <c r="I38" s="239">
        <f>G38*H38</f>
        <v>1.52</v>
      </c>
      <c r="J38" s="237">
        <f>I38/50*0.5+I38*1.55%</f>
        <v>3.8760000000000003E-2</v>
      </c>
      <c r="K38" s="237">
        <v>0</v>
      </c>
      <c r="L38" s="311">
        <f>ROUNDUP(SUM(I38:K38),0)</f>
        <v>2</v>
      </c>
      <c r="M38" s="514"/>
      <c r="N38" s="515"/>
      <c r="O38" s="515"/>
      <c r="P38" s="515"/>
    </row>
    <row r="39" spans="1:16" s="53" customFormat="1" ht="33" thickBot="1">
      <c r="B39" s="17" t="s">
        <v>64</v>
      </c>
      <c r="G39" s="55"/>
      <c r="P39" s="56"/>
    </row>
    <row r="40" spans="1:16" s="232" customFormat="1" ht="90">
      <c r="A40" s="516" t="s">
        <v>65</v>
      </c>
      <c r="B40" s="517"/>
      <c r="C40" s="517"/>
      <c r="D40" s="517"/>
      <c r="E40" s="518"/>
      <c r="F40" s="241" t="s">
        <v>66</v>
      </c>
      <c r="G40" s="241" t="s">
        <v>67</v>
      </c>
      <c r="H40" s="519" t="s">
        <v>68</v>
      </c>
      <c r="I40" s="520"/>
      <c r="J40" s="243" t="s">
        <v>55</v>
      </c>
      <c r="K40" s="241" t="s">
        <v>69</v>
      </c>
      <c r="L40" s="241" t="s">
        <v>70</v>
      </c>
      <c r="M40" s="242" t="s">
        <v>71</v>
      </c>
      <c r="N40" s="242" t="s">
        <v>72</v>
      </c>
      <c r="O40" s="242" t="s">
        <v>73</v>
      </c>
      <c r="P40" s="242" t="s">
        <v>74</v>
      </c>
    </row>
    <row r="41" spans="1:16" s="7" customFormat="1" ht="126.75" customHeight="1">
      <c r="A41" s="421">
        <v>1</v>
      </c>
      <c r="B41" s="485" t="s">
        <v>75</v>
      </c>
      <c r="C41" s="486"/>
      <c r="D41" s="486"/>
      <c r="E41" s="487"/>
      <c r="F41" s="422" t="s">
        <v>45</v>
      </c>
      <c r="G41" s="423"/>
      <c r="H41" s="483" t="str">
        <f>$D$18</f>
        <v>BLACK</v>
      </c>
      <c r="I41" s="484"/>
      <c r="J41" s="236" t="s">
        <v>76</v>
      </c>
      <c r="K41" s="236">
        <f>$P$31</f>
        <v>2</v>
      </c>
      <c r="L41" s="244">
        <v>14</v>
      </c>
      <c r="M41" s="245">
        <f t="shared" ref="M41:M42" si="5">K41*L41</f>
        <v>28</v>
      </c>
      <c r="N41" s="245"/>
      <c r="O41" s="246">
        <f t="shared" ref="O41" si="6">ROUNDUP(SUM(M41:N41),0)</f>
        <v>28</v>
      </c>
      <c r="P41" s="424"/>
    </row>
    <row r="42" spans="1:16" s="7" customFormat="1" ht="126.75" customHeight="1">
      <c r="A42" s="421">
        <v>2</v>
      </c>
      <c r="B42" s="485" t="s">
        <v>77</v>
      </c>
      <c r="C42" s="486"/>
      <c r="D42" s="486"/>
      <c r="E42" s="487"/>
      <c r="F42" s="422" t="s">
        <v>45</v>
      </c>
      <c r="G42" s="423"/>
      <c r="H42" s="483" t="str">
        <f t="shared" ref="H42" si="7">$D$18</f>
        <v>BLACK</v>
      </c>
      <c r="I42" s="484"/>
      <c r="J42" s="236" t="s">
        <v>76</v>
      </c>
      <c r="K42" s="236">
        <f t="shared" ref="K42" si="8">$P$31</f>
        <v>2</v>
      </c>
      <c r="L42" s="244">
        <v>14</v>
      </c>
      <c r="M42" s="245">
        <f t="shared" si="5"/>
        <v>28</v>
      </c>
      <c r="N42" s="245"/>
      <c r="O42" s="246">
        <f t="shared" ref="O42" si="9">SUM(M42:N42)</f>
        <v>28</v>
      </c>
      <c r="P42" s="424"/>
    </row>
    <row r="43" spans="1:16" s="53" customFormat="1" ht="43.15" hidden="1" customHeight="1">
      <c r="B43" s="17" t="s">
        <v>78</v>
      </c>
      <c r="G43" s="55"/>
      <c r="P43" s="56"/>
    </row>
    <row r="44" spans="1:16" s="7" customFormat="1" ht="92.25" hidden="1" customHeight="1">
      <c r="A44" s="421">
        <v>1</v>
      </c>
      <c r="B44" s="485" t="s">
        <v>79</v>
      </c>
      <c r="C44" s="486"/>
      <c r="D44" s="486"/>
      <c r="E44" s="487"/>
      <c r="F44" s="422" t="s">
        <v>80</v>
      </c>
      <c r="G44" s="423"/>
      <c r="H44" s="483" t="str">
        <f>H42</f>
        <v>BLACK</v>
      </c>
      <c r="I44" s="484"/>
      <c r="J44" s="236" t="s">
        <v>76</v>
      </c>
      <c r="K44" s="236">
        <f>$P$31</f>
        <v>2</v>
      </c>
      <c r="L44" s="244">
        <f>1/40</f>
        <v>2.5000000000000001E-2</v>
      </c>
      <c r="M44" s="245">
        <f t="shared" ref="M44:M59" si="10">K44*L44</f>
        <v>0.05</v>
      </c>
      <c r="N44" s="245"/>
      <c r="O44" s="246">
        <f>SUM(M44:N44)</f>
        <v>0.05</v>
      </c>
      <c r="P44" s="424"/>
    </row>
    <row r="45" spans="1:16" s="60" customFormat="1" ht="36.65" hidden="1" customHeight="1">
      <c r="A45" s="425">
        <v>2</v>
      </c>
      <c r="B45" s="532" t="s">
        <v>79</v>
      </c>
      <c r="C45" s="533"/>
      <c r="D45" s="533"/>
      <c r="E45" s="534"/>
      <c r="F45" s="426" t="s">
        <v>80</v>
      </c>
      <c r="G45" s="145"/>
      <c r="H45" s="480" t="e">
        <f>#REF!</f>
        <v>#REF!</v>
      </c>
      <c r="I45" s="481"/>
      <c r="J45" s="147" t="s">
        <v>76</v>
      </c>
      <c r="K45" s="147">
        <f t="shared" ref="K45:K55" si="11">$P$31</f>
        <v>2</v>
      </c>
      <c r="L45" s="143">
        <f>1/40</f>
        <v>2.5000000000000001E-2</v>
      </c>
      <c r="M45" s="144">
        <f t="shared" si="10"/>
        <v>0.05</v>
      </c>
      <c r="N45" s="144"/>
      <c r="O45" s="145">
        <f t="shared" ref="O45" si="12">SUM(M45:N45)</f>
        <v>0.05</v>
      </c>
      <c r="P45" s="427"/>
    </row>
    <row r="46" spans="1:16" s="7" customFormat="1" ht="92.25" hidden="1" customHeight="1">
      <c r="A46" s="421">
        <v>3</v>
      </c>
      <c r="B46" s="485" t="s">
        <v>81</v>
      </c>
      <c r="C46" s="486"/>
      <c r="D46" s="486"/>
      <c r="E46" s="487"/>
      <c r="F46" s="422" t="s">
        <v>82</v>
      </c>
      <c r="G46" s="423"/>
      <c r="H46" s="483" t="str">
        <f t="shared" ref="H46:H58" si="13">H44</f>
        <v>BLACK</v>
      </c>
      <c r="I46" s="484"/>
      <c r="J46" s="236" t="s">
        <v>76</v>
      </c>
      <c r="K46" s="236">
        <f t="shared" si="11"/>
        <v>2</v>
      </c>
      <c r="L46" s="244">
        <f>2/40</f>
        <v>0.05</v>
      </c>
      <c r="M46" s="245">
        <f t="shared" si="10"/>
        <v>0.1</v>
      </c>
      <c r="N46" s="245"/>
      <c r="O46" s="246">
        <f>SUM(M46:N46)-1</f>
        <v>-0.9</v>
      </c>
      <c r="P46" s="424"/>
    </row>
    <row r="47" spans="1:16" s="60" customFormat="1" ht="36.65" hidden="1" customHeight="1">
      <c r="A47" s="425">
        <v>4</v>
      </c>
      <c r="B47" s="532" t="s">
        <v>81</v>
      </c>
      <c r="C47" s="533"/>
      <c r="D47" s="533"/>
      <c r="E47" s="534"/>
      <c r="F47" s="426" t="s">
        <v>82</v>
      </c>
      <c r="G47" s="145"/>
      <c r="H47" s="480" t="e">
        <f t="shared" si="13"/>
        <v>#REF!</v>
      </c>
      <c r="I47" s="481"/>
      <c r="J47" s="147" t="s">
        <v>76</v>
      </c>
      <c r="K47" s="147">
        <f t="shared" si="11"/>
        <v>2</v>
      </c>
      <c r="L47" s="143">
        <f>2/40</f>
        <v>0.05</v>
      </c>
      <c r="M47" s="144">
        <f t="shared" si="10"/>
        <v>0.1</v>
      </c>
      <c r="N47" s="144"/>
      <c r="O47" s="145">
        <f>SUM(M47:N47)+1</f>
        <v>1.1000000000000001</v>
      </c>
      <c r="P47" s="427"/>
    </row>
    <row r="48" spans="1:16" s="7" customFormat="1" ht="92.25" hidden="1" customHeight="1">
      <c r="A48" s="421">
        <v>5</v>
      </c>
      <c r="B48" s="485" t="s">
        <v>83</v>
      </c>
      <c r="C48" s="486"/>
      <c r="D48" s="486"/>
      <c r="E48" s="487"/>
      <c r="F48" s="422" t="s">
        <v>82</v>
      </c>
      <c r="G48" s="423"/>
      <c r="H48" s="483" t="str">
        <f t="shared" si="13"/>
        <v>BLACK</v>
      </c>
      <c r="I48" s="484"/>
      <c r="J48" s="236" t="s">
        <v>76</v>
      </c>
      <c r="K48" s="236">
        <f t="shared" si="11"/>
        <v>2</v>
      </c>
      <c r="L48" s="244">
        <f>1/40</f>
        <v>2.5000000000000001E-2</v>
      </c>
      <c r="M48" s="245">
        <f t="shared" si="10"/>
        <v>0.05</v>
      </c>
      <c r="N48" s="245"/>
      <c r="O48" s="246">
        <f t="shared" ref="O48:O58" si="14">SUM(M48:N48)</f>
        <v>0.05</v>
      </c>
      <c r="P48" s="424"/>
    </row>
    <row r="49" spans="1:17" s="60" customFormat="1" ht="36.65" hidden="1" customHeight="1">
      <c r="A49" s="425">
        <v>6</v>
      </c>
      <c r="B49" s="535" t="s">
        <v>83</v>
      </c>
      <c r="C49" s="535"/>
      <c r="D49" s="535"/>
      <c r="E49" s="535"/>
      <c r="F49" s="426" t="s">
        <v>82</v>
      </c>
      <c r="G49" s="145"/>
      <c r="H49" s="480" t="e">
        <f t="shared" si="13"/>
        <v>#REF!</v>
      </c>
      <c r="I49" s="481"/>
      <c r="J49" s="147" t="s">
        <v>76</v>
      </c>
      <c r="K49" s="147">
        <f t="shared" si="11"/>
        <v>2</v>
      </c>
      <c r="L49" s="143">
        <f>1/40</f>
        <v>2.5000000000000001E-2</v>
      </c>
      <c r="M49" s="144">
        <f t="shared" si="10"/>
        <v>0.05</v>
      </c>
      <c r="N49" s="144"/>
      <c r="O49" s="145">
        <f t="shared" si="14"/>
        <v>0.05</v>
      </c>
      <c r="P49" s="427"/>
    </row>
    <row r="50" spans="1:17" s="7" customFormat="1" ht="92.25" hidden="1" customHeight="1">
      <c r="A50" s="421">
        <v>7</v>
      </c>
      <c r="B50" s="485" t="s">
        <v>84</v>
      </c>
      <c r="C50" s="486"/>
      <c r="D50" s="486"/>
      <c r="E50" s="487"/>
      <c r="F50" s="422" t="s">
        <v>85</v>
      </c>
      <c r="G50" s="423"/>
      <c r="H50" s="483" t="str">
        <f t="shared" si="13"/>
        <v>BLACK</v>
      </c>
      <c r="I50" s="484"/>
      <c r="J50" s="236" t="s">
        <v>76</v>
      </c>
      <c r="K50" s="236">
        <f t="shared" si="11"/>
        <v>2</v>
      </c>
      <c r="L50" s="244">
        <v>1</v>
      </c>
      <c r="M50" s="245">
        <f t="shared" si="10"/>
        <v>2</v>
      </c>
      <c r="N50" s="245"/>
      <c r="O50" s="246">
        <f t="shared" si="14"/>
        <v>2</v>
      </c>
      <c r="P50" s="424"/>
    </row>
    <row r="51" spans="1:17" s="60" customFormat="1" ht="36.65" hidden="1" customHeight="1">
      <c r="A51" s="425">
        <v>8</v>
      </c>
      <c r="B51" s="535" t="s">
        <v>84</v>
      </c>
      <c r="C51" s="535"/>
      <c r="D51" s="535"/>
      <c r="E51" s="535"/>
      <c r="F51" s="426" t="s">
        <v>85</v>
      </c>
      <c r="G51" s="145"/>
      <c r="H51" s="480" t="e">
        <f t="shared" si="13"/>
        <v>#REF!</v>
      </c>
      <c r="I51" s="481"/>
      <c r="J51" s="147" t="s">
        <v>76</v>
      </c>
      <c r="K51" s="147">
        <f t="shared" si="11"/>
        <v>2</v>
      </c>
      <c r="L51" s="143">
        <v>1</v>
      </c>
      <c r="M51" s="144">
        <f t="shared" si="10"/>
        <v>2</v>
      </c>
      <c r="N51" s="144"/>
      <c r="O51" s="145">
        <f t="shared" si="14"/>
        <v>2</v>
      </c>
      <c r="P51" s="427"/>
    </row>
    <row r="52" spans="1:17" s="60" customFormat="1" ht="36.65" hidden="1" customHeight="1">
      <c r="A52" s="425">
        <v>9</v>
      </c>
      <c r="B52" s="477" t="s">
        <v>86</v>
      </c>
      <c r="C52" s="478"/>
      <c r="D52" s="478"/>
      <c r="E52" s="479"/>
      <c r="F52" s="426" t="s">
        <v>82</v>
      </c>
      <c r="G52" s="145"/>
      <c r="H52" s="480" t="str">
        <f t="shared" si="13"/>
        <v>BLACK</v>
      </c>
      <c r="I52" s="481"/>
      <c r="J52" s="147" t="s">
        <v>76</v>
      </c>
      <c r="K52" s="147">
        <f t="shared" si="11"/>
        <v>2</v>
      </c>
      <c r="L52" s="143">
        <v>1</v>
      </c>
      <c r="M52" s="144">
        <f t="shared" si="10"/>
        <v>2</v>
      </c>
      <c r="N52" s="144"/>
      <c r="O52" s="145">
        <f t="shared" si="14"/>
        <v>2</v>
      </c>
      <c r="P52" s="427"/>
    </row>
    <row r="53" spans="1:17" s="60" customFormat="1" ht="36.65" hidden="1" customHeight="1">
      <c r="A53" s="425">
        <v>10</v>
      </c>
      <c r="B53" s="477" t="s">
        <v>86</v>
      </c>
      <c r="C53" s="478"/>
      <c r="D53" s="478"/>
      <c r="E53" s="479"/>
      <c r="F53" s="426" t="s">
        <v>82</v>
      </c>
      <c r="G53" s="145"/>
      <c r="H53" s="480" t="e">
        <f t="shared" si="13"/>
        <v>#REF!</v>
      </c>
      <c r="I53" s="481"/>
      <c r="J53" s="147" t="s">
        <v>76</v>
      </c>
      <c r="K53" s="147">
        <f t="shared" si="11"/>
        <v>2</v>
      </c>
      <c r="L53" s="143">
        <v>1</v>
      </c>
      <c r="M53" s="144">
        <f t="shared" si="10"/>
        <v>2</v>
      </c>
      <c r="N53" s="144"/>
      <c r="O53" s="145">
        <f t="shared" si="14"/>
        <v>2</v>
      </c>
      <c r="P53" s="427"/>
    </row>
    <row r="54" spans="1:17" s="7" customFormat="1" ht="92.25" hidden="1" customHeight="1">
      <c r="A54" s="421">
        <v>11</v>
      </c>
      <c r="B54" s="485" t="s">
        <v>87</v>
      </c>
      <c r="C54" s="486"/>
      <c r="D54" s="486"/>
      <c r="E54" s="487"/>
      <c r="F54" s="422" t="s">
        <v>80</v>
      </c>
      <c r="G54" s="423"/>
      <c r="H54" s="483" t="e">
        <f>H51</f>
        <v>#REF!</v>
      </c>
      <c r="I54" s="484"/>
      <c r="J54" s="236" t="s">
        <v>76</v>
      </c>
      <c r="K54" s="236">
        <f t="shared" si="11"/>
        <v>2</v>
      </c>
      <c r="L54" s="244">
        <v>1</v>
      </c>
      <c r="M54" s="245">
        <f t="shared" ref="M54:M55" si="15">K54*L54</f>
        <v>2</v>
      </c>
      <c r="N54" s="245"/>
      <c r="O54" s="246">
        <f t="shared" ref="O54:O55" si="16">SUM(M54:N54)</f>
        <v>2</v>
      </c>
      <c r="P54" s="424"/>
    </row>
    <row r="55" spans="1:17" s="7" customFormat="1" ht="92.25" hidden="1" customHeight="1">
      <c r="A55" s="234">
        <v>12</v>
      </c>
      <c r="B55" s="466" t="s">
        <v>88</v>
      </c>
      <c r="C55" s="482"/>
      <c r="D55" s="482"/>
      <c r="E55" s="467"/>
      <c r="F55" s="247" t="s">
        <v>85</v>
      </c>
      <c r="G55" s="246"/>
      <c r="H55" s="483" t="e">
        <f t="shared" ref="H55" si="17">H53</f>
        <v>#REF!</v>
      </c>
      <c r="I55" s="484"/>
      <c r="J55" s="236" t="s">
        <v>76</v>
      </c>
      <c r="K55" s="236">
        <f t="shared" si="11"/>
        <v>2</v>
      </c>
      <c r="L55" s="244">
        <v>1</v>
      </c>
      <c r="M55" s="245">
        <f t="shared" si="15"/>
        <v>2</v>
      </c>
      <c r="N55" s="245"/>
      <c r="O55" s="246">
        <f t="shared" si="16"/>
        <v>2</v>
      </c>
      <c r="P55" s="248"/>
    </row>
    <row r="56" spans="1:17" s="60" customFormat="1" ht="36.65" hidden="1" customHeight="1">
      <c r="A56" s="425">
        <v>3</v>
      </c>
      <c r="B56" s="477" t="s">
        <v>89</v>
      </c>
      <c r="C56" s="478"/>
      <c r="D56" s="478"/>
      <c r="E56" s="479"/>
      <c r="F56" s="426" t="s">
        <v>80</v>
      </c>
      <c r="G56" s="145"/>
      <c r="H56" s="480" t="e">
        <f>H53</f>
        <v>#REF!</v>
      </c>
      <c r="I56" s="481"/>
      <c r="J56" s="147" t="s">
        <v>76</v>
      </c>
      <c r="K56" s="147">
        <f>K53</f>
        <v>2</v>
      </c>
      <c r="L56" s="143">
        <v>1</v>
      </c>
      <c r="M56" s="144">
        <f t="shared" si="10"/>
        <v>2</v>
      </c>
      <c r="N56" s="144"/>
      <c r="O56" s="145">
        <f t="shared" si="14"/>
        <v>2</v>
      </c>
      <c r="P56" s="427"/>
    </row>
    <row r="57" spans="1:17" s="60" customFormat="1" ht="36.65" hidden="1" customHeight="1">
      <c r="A57" s="135">
        <v>3</v>
      </c>
      <c r="B57" s="477" t="s">
        <v>88</v>
      </c>
      <c r="C57" s="478"/>
      <c r="D57" s="478"/>
      <c r="E57" s="479"/>
      <c r="F57" s="157" t="s">
        <v>85</v>
      </c>
      <c r="G57" s="145"/>
      <c r="H57" s="480" t="e">
        <f t="shared" si="13"/>
        <v>#REF!</v>
      </c>
      <c r="I57" s="481"/>
      <c r="J57" s="147" t="s">
        <v>76</v>
      </c>
      <c r="K57" s="147">
        <f t="shared" ref="K57:K58" si="18">K55</f>
        <v>2</v>
      </c>
      <c r="L57" s="143">
        <v>1</v>
      </c>
      <c r="M57" s="144">
        <f t="shared" si="10"/>
        <v>2</v>
      </c>
      <c r="N57" s="144"/>
      <c r="O57" s="145">
        <f t="shared" si="14"/>
        <v>2</v>
      </c>
      <c r="P57" s="212"/>
    </row>
    <row r="58" spans="1:17" s="60" customFormat="1" ht="36.65" hidden="1" customHeight="1">
      <c r="A58" s="135">
        <v>3</v>
      </c>
      <c r="B58" s="477" t="s">
        <v>88</v>
      </c>
      <c r="C58" s="478"/>
      <c r="D58" s="478"/>
      <c r="E58" s="479"/>
      <c r="F58" s="157" t="s">
        <v>85</v>
      </c>
      <c r="G58" s="145"/>
      <c r="H58" s="480" t="e">
        <f t="shared" si="13"/>
        <v>#REF!</v>
      </c>
      <c r="I58" s="481"/>
      <c r="J58" s="147" t="s">
        <v>76</v>
      </c>
      <c r="K58" s="147">
        <f t="shared" si="18"/>
        <v>2</v>
      </c>
      <c r="L58" s="143">
        <v>1</v>
      </c>
      <c r="M58" s="144">
        <f t="shared" si="10"/>
        <v>2</v>
      </c>
      <c r="N58" s="144"/>
      <c r="O58" s="145">
        <f t="shared" si="14"/>
        <v>2</v>
      </c>
      <c r="P58" s="212"/>
    </row>
    <row r="59" spans="1:17" s="7" customFormat="1" ht="126.75" customHeight="1">
      <c r="A59" s="421">
        <v>3</v>
      </c>
      <c r="B59" s="485" t="s">
        <v>90</v>
      </c>
      <c r="C59" s="486"/>
      <c r="D59" s="486"/>
      <c r="E59" s="487"/>
      <c r="F59" s="422" t="s">
        <v>45</v>
      </c>
      <c r="G59" s="423"/>
      <c r="H59" s="483" t="str">
        <f t="shared" ref="H59" si="19">$D$18</f>
        <v>BLACK</v>
      </c>
      <c r="I59" s="484"/>
      <c r="J59" s="236" t="s">
        <v>76</v>
      </c>
      <c r="K59" s="236">
        <f t="shared" ref="K59" si="20">$P$31</f>
        <v>2</v>
      </c>
      <c r="L59" s="244">
        <v>4</v>
      </c>
      <c r="M59" s="245">
        <f t="shared" si="10"/>
        <v>8</v>
      </c>
      <c r="N59" s="245"/>
      <c r="O59" s="246">
        <f t="shared" ref="O59" si="21">SUM(M59:N59)</f>
        <v>8</v>
      </c>
      <c r="P59" s="424"/>
    </row>
    <row r="60" spans="1:17" s="161" customFormat="1" ht="24" customHeight="1">
      <c r="A60" s="146"/>
      <c r="B60" s="146"/>
      <c r="C60" s="146"/>
      <c r="D60" s="146"/>
      <c r="E60" s="146"/>
      <c r="F60" s="172"/>
      <c r="G60" s="174"/>
      <c r="H60" s="172"/>
      <c r="I60" s="172"/>
      <c r="J60" s="206"/>
      <c r="K60" s="169"/>
      <c r="L60" s="207"/>
      <c r="M60" s="208"/>
      <c r="N60" s="208"/>
      <c r="O60" s="209"/>
      <c r="P60" s="210"/>
    </row>
    <row r="61" spans="1:17" s="265" customFormat="1" ht="49.5" customHeight="1">
      <c r="A61" s="258"/>
      <c r="B61" s="268" t="s">
        <v>91</v>
      </c>
      <c r="C61" s="258"/>
      <c r="D61" s="258"/>
      <c r="E61" s="258"/>
      <c r="F61" s="259"/>
      <c r="G61" s="312"/>
      <c r="H61" s="259"/>
      <c r="I61" s="259"/>
      <c r="J61" s="260"/>
      <c r="K61" s="268" t="s">
        <v>92</v>
      </c>
      <c r="L61" s="261"/>
      <c r="M61" s="262"/>
      <c r="N61" s="262"/>
      <c r="O61" s="263"/>
      <c r="P61" s="264"/>
    </row>
    <row r="62" spans="1:17" s="266" customFormat="1" ht="49.5" customHeight="1">
      <c r="A62" s="266">
        <v>1</v>
      </c>
      <c r="B62" s="267" t="s">
        <v>93</v>
      </c>
      <c r="C62" s="268" t="s">
        <v>94</v>
      </c>
      <c r="D62" s="269"/>
      <c r="E62" s="269"/>
      <c r="F62" s="269"/>
      <c r="G62" s="270"/>
      <c r="H62" s="270"/>
      <c r="I62" s="270"/>
      <c r="J62" s="270"/>
      <c r="K62" s="271"/>
      <c r="L62" s="270"/>
      <c r="M62" s="270"/>
      <c r="N62" s="270"/>
      <c r="O62" s="270"/>
      <c r="P62" s="270"/>
    </row>
    <row r="63" spans="1:17" s="249" customFormat="1" ht="16.899999999999999" customHeight="1">
      <c r="A63" s="250"/>
      <c r="B63" s="250"/>
      <c r="C63" s="11"/>
      <c r="D63" s="11"/>
      <c r="E63" s="11"/>
      <c r="F63" s="11"/>
      <c r="G63" s="7"/>
      <c r="H63" s="7"/>
      <c r="I63" s="7"/>
      <c r="J63" s="7"/>
      <c r="K63" s="9"/>
      <c r="L63" s="7"/>
      <c r="M63" s="7"/>
      <c r="N63" s="7"/>
      <c r="O63" s="7"/>
      <c r="P63" s="7"/>
    </row>
    <row r="64" spans="1:17" s="5" customFormat="1" ht="60.75" hidden="1" customHeight="1">
      <c r="A64" s="249"/>
      <c r="B64" s="462" t="s">
        <v>95</v>
      </c>
      <c r="C64" s="463"/>
      <c r="D64" s="463"/>
      <c r="E64" s="463"/>
      <c r="F64" s="463"/>
      <c r="G64" s="463"/>
      <c r="H64" s="463"/>
      <c r="I64" s="525"/>
      <c r="J64" s="7"/>
      <c r="K64" s="9"/>
      <c r="L64" s="7"/>
      <c r="M64" s="7"/>
      <c r="N64" s="7"/>
      <c r="O64" s="7"/>
      <c r="P64" s="7"/>
      <c r="Q64" s="7"/>
    </row>
    <row r="65" spans="1:17" s="5" customFormat="1" ht="60.75" hidden="1" customHeight="1">
      <c r="A65" s="249"/>
      <c r="B65" s="251" t="s">
        <v>68</v>
      </c>
      <c r="C65" s="470" t="s">
        <v>96</v>
      </c>
      <c r="D65" s="471"/>
      <c r="E65" s="471"/>
      <c r="F65" s="471"/>
      <c r="G65" s="471"/>
      <c r="H65" s="471"/>
      <c r="I65" s="472"/>
      <c r="J65" s="7"/>
      <c r="K65" s="7"/>
      <c r="L65" s="7"/>
      <c r="M65" s="7"/>
      <c r="N65" s="7"/>
      <c r="O65" s="7"/>
      <c r="P65" s="7"/>
      <c r="Q65" s="7"/>
    </row>
    <row r="66" spans="1:17" s="5" customFormat="1" ht="96.75" hidden="1" customHeight="1">
      <c r="A66" s="249"/>
      <c r="B66" s="252" t="str">
        <f>D18</f>
        <v>BLACK</v>
      </c>
      <c r="C66" s="522" t="s">
        <v>97</v>
      </c>
      <c r="D66" s="523"/>
      <c r="E66" s="523"/>
      <c r="F66" s="523"/>
      <c r="G66" s="523"/>
      <c r="H66" s="523"/>
      <c r="I66" s="524"/>
      <c r="J66" s="7"/>
      <c r="K66" s="7"/>
      <c r="L66" s="7"/>
      <c r="M66" s="7"/>
      <c r="N66" s="7"/>
    </row>
    <row r="67" spans="1:17" s="5" customFormat="1" ht="51.75" hidden="1" customHeight="1">
      <c r="A67" s="249"/>
      <c r="B67" s="462" t="s">
        <v>98</v>
      </c>
      <c r="C67" s="463"/>
      <c r="D67" s="464"/>
      <c r="E67" s="464"/>
      <c r="F67" s="464"/>
      <c r="G67" s="464"/>
      <c r="H67" s="464"/>
      <c r="I67" s="465"/>
      <c r="J67" s="7"/>
      <c r="K67" s="7"/>
    </row>
    <row r="68" spans="1:17" s="5" customFormat="1" ht="51.75" hidden="1" customHeight="1">
      <c r="A68" s="249"/>
      <c r="B68" s="466"/>
      <c r="C68" s="467"/>
      <c r="D68" s="526" t="s">
        <v>40</v>
      </c>
      <c r="E68" s="527"/>
      <c r="F68" s="527"/>
      <c r="G68" s="527"/>
      <c r="H68" s="527"/>
      <c r="I68" s="528"/>
    </row>
    <row r="69" spans="1:17" s="5" customFormat="1" ht="172.5" hidden="1" customHeight="1">
      <c r="A69" s="249"/>
      <c r="B69" s="468" t="s">
        <v>99</v>
      </c>
      <c r="C69" s="468"/>
      <c r="D69" s="529" t="s">
        <v>100</v>
      </c>
      <c r="E69" s="530"/>
      <c r="F69" s="530"/>
      <c r="G69" s="530"/>
      <c r="H69" s="530"/>
      <c r="I69" s="531"/>
    </row>
    <row r="70" spans="1:17" s="266" customFormat="1" ht="49.5" customHeight="1">
      <c r="A70" s="272">
        <v>2</v>
      </c>
      <c r="B70" s="267" t="s">
        <v>101</v>
      </c>
      <c r="C70" s="272" t="s">
        <v>102</v>
      </c>
      <c r="D70" s="273"/>
      <c r="E70" s="273"/>
      <c r="F70" s="273"/>
      <c r="G70" s="270"/>
      <c r="H70" s="270"/>
      <c r="I70" s="270"/>
      <c r="J70" s="270"/>
      <c r="K70" s="271"/>
      <c r="L70" s="270"/>
      <c r="M70" s="270"/>
      <c r="N70" s="270"/>
      <c r="O70" s="270"/>
      <c r="P70" s="270"/>
    </row>
    <row r="71" spans="1:17" s="249" customFormat="1" ht="16.899999999999999" hidden="1" customHeight="1">
      <c r="A71" s="250"/>
      <c r="B71" s="250"/>
      <c r="C71" s="11"/>
      <c r="D71" s="11"/>
      <c r="E71" s="11"/>
      <c r="F71" s="11"/>
      <c r="G71" s="7"/>
      <c r="H71" s="7"/>
      <c r="I71" s="7"/>
      <c r="J71" s="7"/>
      <c r="K71" s="9"/>
      <c r="L71" s="7"/>
      <c r="M71" s="7"/>
      <c r="N71" s="7"/>
      <c r="O71" s="7"/>
      <c r="P71" s="7"/>
    </row>
    <row r="72" spans="1:17" s="5" customFormat="1" ht="34.5" hidden="1" customHeight="1">
      <c r="A72" s="249"/>
      <c r="B72" s="462" t="s">
        <v>95</v>
      </c>
      <c r="C72" s="463"/>
      <c r="D72" s="463"/>
      <c r="E72" s="463"/>
      <c r="F72" s="463"/>
      <c r="G72" s="463"/>
      <c r="H72" s="463"/>
      <c r="I72" s="525"/>
      <c r="J72" s="7"/>
      <c r="K72" s="9"/>
      <c r="L72" s="7"/>
      <c r="M72" s="7"/>
      <c r="N72" s="7"/>
      <c r="O72" s="7"/>
      <c r="P72" s="7"/>
      <c r="Q72" s="7"/>
    </row>
    <row r="73" spans="1:17" s="5" customFormat="1" ht="34.5" hidden="1" customHeight="1">
      <c r="A73" s="249"/>
      <c r="B73" s="251" t="s">
        <v>68</v>
      </c>
      <c r="C73" s="470" t="s">
        <v>103</v>
      </c>
      <c r="D73" s="471"/>
      <c r="E73" s="471"/>
      <c r="F73" s="471"/>
      <c r="G73" s="471"/>
      <c r="H73" s="471"/>
      <c r="I73" s="472"/>
      <c r="J73" s="7"/>
      <c r="K73" s="7"/>
      <c r="L73" s="7"/>
      <c r="M73" s="7"/>
      <c r="N73" s="7"/>
      <c r="O73" s="7"/>
      <c r="P73" s="7"/>
      <c r="Q73" s="7"/>
    </row>
    <row r="74" spans="1:17" s="5" customFormat="1" ht="88.9" hidden="1" customHeight="1">
      <c r="A74" s="249"/>
      <c r="B74" s="252" t="e">
        <f>#REF!</f>
        <v>#REF!</v>
      </c>
      <c r="C74" s="522" t="s">
        <v>104</v>
      </c>
      <c r="D74" s="523"/>
      <c r="E74" s="523"/>
      <c r="F74" s="523"/>
      <c r="G74" s="523"/>
      <c r="H74" s="523"/>
      <c r="I74" s="524"/>
      <c r="J74" s="7"/>
      <c r="K74" s="7"/>
      <c r="L74" s="7"/>
      <c r="M74" s="7"/>
      <c r="N74" s="7"/>
    </row>
    <row r="75" spans="1:17" s="5" customFormat="1" ht="121.9" hidden="1" customHeight="1">
      <c r="A75" s="249"/>
      <c r="B75" s="252" t="e">
        <f>#REF!</f>
        <v>#REF!</v>
      </c>
      <c r="C75" s="522" t="s">
        <v>105</v>
      </c>
      <c r="D75" s="523"/>
      <c r="E75" s="523"/>
      <c r="F75" s="523"/>
      <c r="G75" s="523"/>
      <c r="H75" s="523"/>
      <c r="I75" s="524"/>
      <c r="J75" s="7"/>
      <c r="K75" s="7"/>
      <c r="L75" s="7"/>
      <c r="M75" s="7"/>
      <c r="N75" s="7"/>
    </row>
    <row r="76" spans="1:17" s="5" customFormat="1" ht="34.5" hidden="1" customHeight="1">
      <c r="A76" s="249"/>
      <c r="B76" s="462" t="s">
        <v>98</v>
      </c>
      <c r="C76" s="463"/>
      <c r="D76" s="464"/>
      <c r="E76" s="464"/>
      <c r="F76" s="464"/>
      <c r="G76" s="464"/>
      <c r="H76" s="464"/>
      <c r="I76" s="465"/>
      <c r="J76" s="7"/>
      <c r="K76" s="7"/>
    </row>
    <row r="77" spans="1:17" s="5" customFormat="1" ht="34.5" hidden="1" customHeight="1">
      <c r="A77" s="249"/>
      <c r="B77" s="466"/>
      <c r="C77" s="467"/>
      <c r="D77" s="428" t="s">
        <v>37</v>
      </c>
      <c r="E77" s="428" t="s">
        <v>38</v>
      </c>
      <c r="F77" s="428" t="s">
        <v>39</v>
      </c>
      <c r="G77" s="428" t="s">
        <v>40</v>
      </c>
      <c r="H77" s="428" t="s">
        <v>41</v>
      </c>
      <c r="I77" s="428" t="s">
        <v>42</v>
      </c>
    </row>
    <row r="78" spans="1:17" s="5" customFormat="1" ht="120.65" hidden="1" customHeight="1">
      <c r="A78" s="249"/>
      <c r="B78" s="468" t="s">
        <v>106</v>
      </c>
      <c r="C78" s="468"/>
      <c r="D78" s="253" t="s">
        <v>107</v>
      </c>
      <c r="E78" s="253" t="s">
        <v>107</v>
      </c>
      <c r="F78" s="253" t="s">
        <v>107</v>
      </c>
      <c r="G78" s="253" t="s">
        <v>107</v>
      </c>
      <c r="H78" s="253" t="s">
        <v>107</v>
      </c>
      <c r="I78" s="253" t="s">
        <v>107</v>
      </c>
    </row>
    <row r="79" spans="1:17" s="266" customFormat="1" ht="49.5" customHeight="1">
      <c r="A79" s="272">
        <v>3</v>
      </c>
      <c r="B79" s="267" t="s">
        <v>108</v>
      </c>
      <c r="C79" s="273" t="s">
        <v>109</v>
      </c>
      <c r="D79" s="273"/>
      <c r="E79" s="273"/>
      <c r="F79" s="273"/>
      <c r="G79" s="270"/>
      <c r="H79" s="270"/>
      <c r="I79" s="270"/>
      <c r="J79" s="270"/>
      <c r="K79" s="271"/>
      <c r="L79" s="270"/>
      <c r="M79" s="270"/>
      <c r="N79" s="270"/>
      <c r="O79" s="270"/>
      <c r="P79" s="270"/>
    </row>
    <row r="80" spans="1:17" s="5" customFormat="1" ht="64.5" hidden="1" customHeight="1">
      <c r="A80" s="249"/>
      <c r="B80" s="251" t="s">
        <v>68</v>
      </c>
      <c r="C80" s="470" t="s">
        <v>110</v>
      </c>
      <c r="D80" s="471"/>
      <c r="E80" s="471"/>
      <c r="F80" s="471"/>
      <c r="G80" s="471"/>
      <c r="H80" s="471"/>
      <c r="I80" s="472"/>
      <c r="J80" s="7"/>
      <c r="K80" s="7"/>
      <c r="L80" s="7"/>
      <c r="M80" s="7"/>
      <c r="N80" s="7"/>
      <c r="O80" s="7"/>
      <c r="P80" s="7"/>
      <c r="Q80" s="7"/>
    </row>
    <row r="81" spans="1:16" s="5" customFormat="1" ht="153.75" hidden="1" customHeight="1">
      <c r="A81" s="249"/>
      <c r="B81" s="252" t="str">
        <f>D20</f>
        <v>BLACK</v>
      </c>
      <c r="C81" s="473" t="s">
        <v>111</v>
      </c>
      <c r="D81" s="474"/>
      <c r="E81" s="474"/>
      <c r="F81" s="474"/>
      <c r="G81" s="474"/>
      <c r="H81" s="474"/>
      <c r="I81" s="475"/>
      <c r="J81" s="7"/>
      <c r="K81" s="7"/>
      <c r="L81" s="7"/>
      <c r="M81" s="7"/>
      <c r="N81" s="7"/>
    </row>
    <row r="82" spans="1:16" s="266" customFormat="1" ht="49.5" customHeight="1">
      <c r="A82" s="272">
        <v>4</v>
      </c>
      <c r="B82" s="318" t="s">
        <v>112</v>
      </c>
      <c r="C82" s="319"/>
      <c r="D82" s="319"/>
      <c r="E82" s="319"/>
      <c r="F82" s="319"/>
      <c r="G82" s="270"/>
      <c r="H82" s="270"/>
      <c r="I82" s="270"/>
      <c r="J82" s="270"/>
      <c r="K82" s="271"/>
      <c r="L82" s="270"/>
      <c r="M82" s="270"/>
      <c r="N82" s="270"/>
      <c r="O82" s="270"/>
      <c r="P82" s="270"/>
    </row>
    <row r="83" spans="1:16" s="269" customFormat="1" ht="49.5" customHeight="1">
      <c r="B83" s="476" t="s">
        <v>113</v>
      </c>
      <c r="C83" s="476"/>
      <c r="D83" s="476"/>
      <c r="E83" s="476"/>
      <c r="G83" s="270"/>
      <c r="M83" s="274"/>
      <c r="N83" s="275"/>
      <c r="O83" s="275"/>
      <c r="P83" s="274"/>
    </row>
    <row r="84" spans="1:16" s="269" customFormat="1" ht="49.5" customHeight="1">
      <c r="A84" s="266">
        <v>1</v>
      </c>
      <c r="B84" s="276" t="s">
        <v>114</v>
      </c>
      <c r="C84" s="266"/>
      <c r="D84" s="266"/>
      <c r="G84" s="270"/>
      <c r="L84" s="469"/>
      <c r="M84" s="469"/>
      <c r="N84" s="469"/>
      <c r="O84" s="469"/>
      <c r="P84" s="469"/>
    </row>
    <row r="85" spans="1:16" s="269" customFormat="1" ht="49.5" customHeight="1">
      <c r="A85" s="266">
        <v>2</v>
      </c>
      <c r="B85" s="276" t="s">
        <v>115</v>
      </c>
      <c r="C85" s="266"/>
      <c r="D85" s="266"/>
      <c r="G85" s="270"/>
      <c r="L85" s="469"/>
      <c r="M85" s="469"/>
      <c r="N85" s="469"/>
      <c r="O85" s="469"/>
      <c r="P85" s="469"/>
    </row>
    <row r="86" spans="1:16" s="269" customFormat="1" ht="49.5" customHeight="1">
      <c r="A86" s="266">
        <v>3</v>
      </c>
      <c r="B86" s="276" t="s">
        <v>116</v>
      </c>
      <c r="C86" s="266"/>
      <c r="D86" s="266"/>
      <c r="G86" s="270"/>
      <c r="L86" s="469"/>
      <c r="M86" s="469"/>
      <c r="N86" s="469"/>
      <c r="O86" s="469"/>
      <c r="P86" s="469"/>
    </row>
    <row r="87" spans="1:16" s="6" customFormat="1" ht="58.9" customHeight="1">
      <c r="A87" s="250"/>
      <c r="B87" s="254" t="s">
        <v>117</v>
      </c>
      <c r="C87" s="240" t="s">
        <v>37</v>
      </c>
      <c r="D87" s="240" t="s">
        <v>38</v>
      </c>
      <c r="E87" s="240" t="s">
        <v>39</v>
      </c>
      <c r="F87" s="240" t="s">
        <v>40</v>
      </c>
      <c r="G87" s="240" t="s">
        <v>41</v>
      </c>
      <c r="H87" s="240" t="s">
        <v>42</v>
      </c>
      <c r="I87" s="240" t="s">
        <v>43</v>
      </c>
      <c r="J87" s="255"/>
      <c r="K87" s="256"/>
      <c r="L87" s="256"/>
      <c r="M87" s="255"/>
    </row>
    <row r="88" spans="1:16" s="6" customFormat="1" ht="62.25" customHeight="1">
      <c r="A88" s="250"/>
      <c r="B88" s="254" t="s">
        <v>118</v>
      </c>
      <c r="C88" s="257">
        <f t="shared" ref="C88:H88" si="22">G31</f>
        <v>0</v>
      </c>
      <c r="D88" s="257">
        <f t="shared" si="22"/>
        <v>0</v>
      </c>
      <c r="E88" s="257">
        <f t="shared" si="22"/>
        <v>2</v>
      </c>
      <c r="F88" s="257">
        <f t="shared" si="22"/>
        <v>0</v>
      </c>
      <c r="G88" s="257">
        <f t="shared" si="22"/>
        <v>0</v>
      </c>
      <c r="H88" s="257">
        <f t="shared" si="22"/>
        <v>0</v>
      </c>
      <c r="I88" s="257">
        <f>SUM(C88:H88)</f>
        <v>2</v>
      </c>
      <c r="J88" s="255"/>
      <c r="K88" s="256"/>
      <c r="L88" s="256"/>
      <c r="M88" s="255"/>
    </row>
    <row r="89" spans="1:16" s="313" customFormat="1" ht="32.5">
      <c r="G89" s="161"/>
    </row>
    <row r="90" spans="1:16" s="316" customFormat="1" ht="51.5">
      <c r="A90" s="316">
        <v>4</v>
      </c>
      <c r="B90" s="316" t="s">
        <v>119</v>
      </c>
      <c r="G90" s="317"/>
    </row>
    <row r="91" spans="1:16" s="313" customFormat="1" ht="32.5">
      <c r="G91" s="161"/>
    </row>
    <row r="92" spans="1:16" s="313" customFormat="1" ht="32.5">
      <c r="G92" s="161"/>
    </row>
    <row r="93" spans="1:16" s="313" customFormat="1" ht="32.5">
      <c r="G93" s="161"/>
    </row>
    <row r="94" spans="1:16" s="313" customFormat="1" ht="32.5">
      <c r="G94" s="161"/>
    </row>
    <row r="95" spans="1:16" s="313" customFormat="1" ht="32.5">
      <c r="G95" s="161"/>
    </row>
    <row r="96" spans="1:16" s="313" customFormat="1" ht="32.5">
      <c r="G96" s="161"/>
    </row>
    <row r="97" spans="7:7" s="313" customFormat="1" ht="32.5">
      <c r="G97" s="161"/>
    </row>
    <row r="98" spans="7:7" s="313" customFormat="1" ht="32.5">
      <c r="G98" s="161"/>
    </row>
    <row r="99" spans="7:7" s="313" customFormat="1" ht="32.5">
      <c r="G99" s="161"/>
    </row>
    <row r="100" spans="7:7" s="313" customFormat="1" ht="32.5">
      <c r="G100" s="161"/>
    </row>
  </sheetData>
  <mergeCells count="75">
    <mergeCell ref="B59:E59"/>
    <mergeCell ref="H59:I59"/>
    <mergeCell ref="B45:E45"/>
    <mergeCell ref="H45:I45"/>
    <mergeCell ref="B46:E46"/>
    <mergeCell ref="H46:I46"/>
    <mergeCell ref="B47:E47"/>
    <mergeCell ref="H47:I47"/>
    <mergeCell ref="B48:E48"/>
    <mergeCell ref="H48:I48"/>
    <mergeCell ref="B49:E49"/>
    <mergeCell ref="H49:I49"/>
    <mergeCell ref="B50:E50"/>
    <mergeCell ref="H50:I50"/>
    <mergeCell ref="B51:E51"/>
    <mergeCell ref="H51:I51"/>
    <mergeCell ref="C75:I75"/>
    <mergeCell ref="B69:C69"/>
    <mergeCell ref="B64:I64"/>
    <mergeCell ref="C65:I65"/>
    <mergeCell ref="C66:I66"/>
    <mergeCell ref="B67:I67"/>
    <mergeCell ref="B68:C68"/>
    <mergeCell ref="B72:I72"/>
    <mergeCell ref="C73:I73"/>
    <mergeCell ref="C74:I74"/>
    <mergeCell ref="D68:I68"/>
    <mergeCell ref="D69:I69"/>
    <mergeCell ref="H41:I41"/>
    <mergeCell ref="B44:E44"/>
    <mergeCell ref="H44:I44"/>
    <mergeCell ref="H42:I42"/>
    <mergeCell ref="B41:E41"/>
    <mergeCell ref="B42:E42"/>
    <mergeCell ref="A35:P35"/>
    <mergeCell ref="M36:P36"/>
    <mergeCell ref="A40:E40"/>
    <mergeCell ref="H40:I40"/>
    <mergeCell ref="B36:C36"/>
    <mergeCell ref="B38:C38"/>
    <mergeCell ref="M38:P38"/>
    <mergeCell ref="M1:N1"/>
    <mergeCell ref="O1:P1"/>
    <mergeCell ref="M2:N2"/>
    <mergeCell ref="O2:P2"/>
    <mergeCell ref="M3:N3"/>
    <mergeCell ref="O3:P3"/>
    <mergeCell ref="G5:L8"/>
    <mergeCell ref="B13:F13"/>
    <mergeCell ref="A34:C34"/>
    <mergeCell ref="M34:P34"/>
    <mergeCell ref="L11:P11"/>
    <mergeCell ref="D32:K32"/>
    <mergeCell ref="D8:F8"/>
    <mergeCell ref="B52:E52"/>
    <mergeCell ref="H52:I52"/>
    <mergeCell ref="B53:E53"/>
    <mergeCell ref="H53:I53"/>
    <mergeCell ref="B58:E58"/>
    <mergeCell ref="H58:I58"/>
    <mergeCell ref="B55:E55"/>
    <mergeCell ref="H55:I55"/>
    <mergeCell ref="B56:E56"/>
    <mergeCell ref="H56:I56"/>
    <mergeCell ref="B57:E57"/>
    <mergeCell ref="H57:I57"/>
    <mergeCell ref="B54:E54"/>
    <mergeCell ref="H54:I54"/>
    <mergeCell ref="B76:I76"/>
    <mergeCell ref="B77:C77"/>
    <mergeCell ref="B78:C78"/>
    <mergeCell ref="L84:P86"/>
    <mergeCell ref="C80:I80"/>
    <mergeCell ref="C81:I81"/>
    <mergeCell ref="B83:E83"/>
  </mergeCells>
  <printOptions horizontalCentered="1"/>
  <pageMargins left="0.25" right="0" top="0.61388888888888904" bottom="0.7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74" customFormat="1" ht="30.75" customHeight="1">
      <c r="A1" s="70"/>
      <c r="B1" s="71" t="s">
        <v>329</v>
      </c>
      <c r="C1" s="71" t="s">
        <v>330</v>
      </c>
      <c r="D1" s="705" t="s">
        <v>331</v>
      </c>
      <c r="E1" s="705"/>
      <c r="F1" s="705"/>
      <c r="G1" s="71"/>
      <c r="H1" s="71"/>
      <c r="I1" s="72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</row>
    <row r="2" spans="1:25" s="74" customFormat="1" ht="30.75" customHeight="1" thickBot="1">
      <c r="A2" s="75"/>
      <c r="B2" s="76" t="s">
        <v>332</v>
      </c>
      <c r="C2" s="76" t="s">
        <v>333</v>
      </c>
      <c r="D2" s="706" t="s">
        <v>334</v>
      </c>
      <c r="E2" s="706"/>
      <c r="F2" s="706"/>
      <c r="G2" s="706"/>
      <c r="H2" s="706"/>
      <c r="I2" s="707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</row>
    <row r="3" spans="1:25" s="82" customFormat="1" ht="20.25" customHeight="1">
      <c r="A3" s="77" t="s">
        <v>335</v>
      </c>
      <c r="B3" s="78" t="s">
        <v>336</v>
      </c>
      <c r="C3" s="78" t="s">
        <v>337</v>
      </c>
      <c r="D3" s="79" t="s">
        <v>38</v>
      </c>
      <c r="E3" s="79" t="s">
        <v>39</v>
      </c>
      <c r="F3" s="79" t="s">
        <v>40</v>
      </c>
      <c r="G3" s="79" t="s">
        <v>41</v>
      </c>
      <c r="H3" s="79" t="s">
        <v>42</v>
      </c>
      <c r="I3" s="80" t="s">
        <v>338</v>
      </c>
      <c r="J3" s="81"/>
      <c r="K3" s="81"/>
    </row>
    <row r="4" spans="1:25" s="88" customFormat="1" ht="27" customHeight="1">
      <c r="A4" s="83">
        <v>1</v>
      </c>
      <c r="B4" s="84" t="s">
        <v>339</v>
      </c>
      <c r="C4" s="84" t="s">
        <v>340</v>
      </c>
      <c r="D4" s="85">
        <v>68.5</v>
      </c>
      <c r="E4" s="85">
        <v>72.5</v>
      </c>
      <c r="F4" s="85">
        <v>74.5</v>
      </c>
      <c r="G4" s="85">
        <v>76.5</v>
      </c>
      <c r="H4" s="85">
        <v>78.5</v>
      </c>
      <c r="I4" s="86" t="s">
        <v>341</v>
      </c>
      <c r="J4" s="87"/>
      <c r="K4" s="87"/>
    </row>
    <row r="5" spans="1:25" s="88" customFormat="1" ht="27" customHeight="1">
      <c r="A5" s="83">
        <v>2</v>
      </c>
      <c r="B5" s="84" t="s">
        <v>342</v>
      </c>
      <c r="C5" s="84" t="s">
        <v>343</v>
      </c>
      <c r="D5" s="85">
        <v>66.5</v>
      </c>
      <c r="E5" s="85">
        <v>70.5</v>
      </c>
      <c r="F5" s="85">
        <v>72.5</v>
      </c>
      <c r="G5" s="85">
        <v>74.5</v>
      </c>
      <c r="H5" s="85">
        <v>76.5</v>
      </c>
      <c r="I5" s="86" t="s">
        <v>341</v>
      </c>
      <c r="J5" s="87"/>
      <c r="K5" s="87"/>
    </row>
    <row r="6" spans="1:25" s="88" customFormat="1" ht="27" customHeight="1">
      <c r="A6" s="83">
        <v>3</v>
      </c>
      <c r="B6" s="69" t="s">
        <v>344</v>
      </c>
      <c r="C6" s="69" t="s">
        <v>345</v>
      </c>
      <c r="D6" s="89">
        <v>51</v>
      </c>
      <c r="E6" s="89">
        <v>55</v>
      </c>
      <c r="F6" s="89">
        <v>57</v>
      </c>
      <c r="G6" s="89">
        <v>59</v>
      </c>
      <c r="H6" s="89">
        <v>61</v>
      </c>
      <c r="I6" s="90" t="s">
        <v>341</v>
      </c>
      <c r="J6" s="87"/>
      <c r="K6" s="87"/>
    </row>
    <row r="7" spans="1:25" s="88" customFormat="1" ht="27" customHeight="1">
      <c r="A7" s="83">
        <v>4</v>
      </c>
      <c r="B7" s="69" t="s">
        <v>346</v>
      </c>
      <c r="C7" s="69" t="s">
        <v>347</v>
      </c>
      <c r="D7" s="89">
        <v>51</v>
      </c>
      <c r="E7" s="89">
        <v>55</v>
      </c>
      <c r="F7" s="89">
        <v>57</v>
      </c>
      <c r="G7" s="89">
        <v>59</v>
      </c>
      <c r="H7" s="89">
        <v>61</v>
      </c>
      <c r="I7" s="91" t="s">
        <v>341</v>
      </c>
      <c r="J7" s="87"/>
      <c r="K7" s="87"/>
    </row>
    <row r="8" spans="1:25" s="88" customFormat="1" ht="27" customHeight="1">
      <c r="A8" s="83">
        <v>5</v>
      </c>
      <c r="B8" s="69" t="s">
        <v>348</v>
      </c>
      <c r="C8" s="69" t="s">
        <v>229</v>
      </c>
      <c r="D8" s="89">
        <v>22</v>
      </c>
      <c r="E8" s="89">
        <v>23</v>
      </c>
      <c r="F8" s="89">
        <v>23.5</v>
      </c>
      <c r="G8" s="89">
        <v>24</v>
      </c>
      <c r="H8" s="89">
        <v>24.5</v>
      </c>
      <c r="I8" s="91" t="s">
        <v>349</v>
      </c>
      <c r="J8" s="87"/>
      <c r="K8" s="87"/>
    </row>
    <row r="9" spans="1:25" s="88" customFormat="1" ht="27" customHeight="1">
      <c r="A9" s="83">
        <v>6</v>
      </c>
      <c r="B9" s="69" t="s">
        <v>350</v>
      </c>
      <c r="C9" s="69" t="s">
        <v>351</v>
      </c>
      <c r="D9" s="89">
        <v>18.5</v>
      </c>
      <c r="E9" s="89">
        <v>19.5</v>
      </c>
      <c r="F9" s="89">
        <v>20.5</v>
      </c>
      <c r="G9" s="89">
        <v>20.5</v>
      </c>
      <c r="H9" s="89">
        <v>21.5</v>
      </c>
      <c r="I9" s="92" t="s">
        <v>341</v>
      </c>
      <c r="J9" s="87"/>
      <c r="K9" s="87"/>
    </row>
    <row r="10" spans="1:25" s="88" customFormat="1" ht="27" customHeight="1">
      <c r="A10" s="83">
        <v>7</v>
      </c>
      <c r="B10" s="69" t="s">
        <v>352</v>
      </c>
      <c r="C10" s="69" t="s">
        <v>353</v>
      </c>
      <c r="D10" s="89">
        <v>8.5</v>
      </c>
      <c r="E10" s="89">
        <v>9</v>
      </c>
      <c r="F10" s="89">
        <v>9.5</v>
      </c>
      <c r="G10" s="89">
        <v>9.5</v>
      </c>
      <c r="H10" s="89">
        <v>10</v>
      </c>
      <c r="I10" s="91" t="s">
        <v>341</v>
      </c>
      <c r="J10" s="87"/>
      <c r="K10" s="87"/>
    </row>
    <row r="11" spans="1:25" s="88" customFormat="1" ht="27" customHeight="1">
      <c r="A11" s="83">
        <v>8</v>
      </c>
      <c r="B11" s="69" t="s">
        <v>354</v>
      </c>
      <c r="C11" s="69" t="s">
        <v>355</v>
      </c>
      <c r="D11" s="89">
        <v>2</v>
      </c>
      <c r="E11" s="89">
        <v>2</v>
      </c>
      <c r="F11" s="89">
        <v>2</v>
      </c>
      <c r="G11" s="89">
        <v>2</v>
      </c>
      <c r="H11" s="89">
        <v>2</v>
      </c>
      <c r="I11" s="91">
        <v>0</v>
      </c>
      <c r="J11" s="87"/>
      <c r="K11" s="87"/>
    </row>
    <row r="12" spans="1:25" s="88" customFormat="1" ht="27" customHeight="1">
      <c r="A12" s="83">
        <v>9</v>
      </c>
      <c r="B12" s="69" t="s">
        <v>356</v>
      </c>
      <c r="C12" s="69" t="s">
        <v>357</v>
      </c>
      <c r="D12" s="89">
        <v>46</v>
      </c>
      <c r="E12" s="89">
        <v>50</v>
      </c>
      <c r="F12" s="89">
        <v>52</v>
      </c>
      <c r="G12" s="89">
        <v>54</v>
      </c>
      <c r="H12" s="89">
        <v>56</v>
      </c>
      <c r="I12" s="91" t="s">
        <v>349</v>
      </c>
      <c r="J12" s="87"/>
      <c r="K12" s="87"/>
    </row>
    <row r="13" spans="1:25" s="88" customFormat="1" ht="27" customHeight="1">
      <c r="A13" s="83">
        <v>10</v>
      </c>
      <c r="B13" s="69" t="s">
        <v>358</v>
      </c>
      <c r="C13" s="69" t="s">
        <v>359</v>
      </c>
      <c r="D13" s="89">
        <v>22</v>
      </c>
      <c r="E13" s="89">
        <v>23</v>
      </c>
      <c r="F13" s="89">
        <v>24</v>
      </c>
      <c r="G13" s="89">
        <v>25</v>
      </c>
      <c r="H13" s="89">
        <v>26</v>
      </c>
      <c r="I13" s="91" t="s">
        <v>349</v>
      </c>
      <c r="J13" s="87"/>
      <c r="K13" s="87"/>
    </row>
    <row r="14" spans="1:25" s="88" customFormat="1" ht="27" customHeight="1">
      <c r="A14" s="83">
        <v>11</v>
      </c>
      <c r="B14" s="69" t="s">
        <v>360</v>
      </c>
      <c r="C14" s="69" t="s">
        <v>361</v>
      </c>
      <c r="D14" s="89">
        <v>19.5</v>
      </c>
      <c r="E14" s="89">
        <v>20</v>
      </c>
      <c r="F14" s="89">
        <v>20.5</v>
      </c>
      <c r="G14" s="89">
        <v>21</v>
      </c>
      <c r="H14" s="89">
        <v>21.5</v>
      </c>
      <c r="I14" s="92">
        <v>0</v>
      </c>
      <c r="J14" s="87"/>
      <c r="K14" s="87"/>
    </row>
    <row r="15" spans="1:25" s="88" customFormat="1" ht="27" customHeight="1">
      <c r="A15" s="83">
        <v>12</v>
      </c>
      <c r="B15" s="69" t="s">
        <v>362</v>
      </c>
      <c r="C15" s="69" t="s">
        <v>363</v>
      </c>
      <c r="D15" s="89">
        <v>2.5</v>
      </c>
      <c r="E15" s="89">
        <v>2.5</v>
      </c>
      <c r="F15" s="89">
        <v>2.5</v>
      </c>
      <c r="G15" s="89">
        <v>2.5</v>
      </c>
      <c r="H15" s="89">
        <v>2.5</v>
      </c>
      <c r="I15" s="92">
        <v>0</v>
      </c>
      <c r="J15" s="87"/>
      <c r="K15" s="87"/>
    </row>
    <row r="16" spans="1:25" s="88" customFormat="1" ht="27" customHeight="1">
      <c r="A16" s="83">
        <v>13</v>
      </c>
      <c r="B16" s="69" t="s">
        <v>364</v>
      </c>
      <c r="C16" s="69" t="s">
        <v>365</v>
      </c>
      <c r="D16" s="89">
        <v>2.5</v>
      </c>
      <c r="E16" s="89">
        <v>2.5</v>
      </c>
      <c r="F16" s="89">
        <v>2.5</v>
      </c>
      <c r="G16" s="89">
        <v>2.5</v>
      </c>
      <c r="H16" s="89">
        <v>2.5</v>
      </c>
      <c r="I16" s="92">
        <v>0</v>
      </c>
      <c r="J16" s="87"/>
      <c r="K16" s="87"/>
    </row>
    <row r="17" spans="1:11" s="88" customFormat="1" ht="27" customHeight="1" thickBot="1">
      <c r="A17" s="83">
        <v>14</v>
      </c>
      <c r="B17" s="93" t="s">
        <v>366</v>
      </c>
      <c r="C17" s="93" t="s">
        <v>367</v>
      </c>
      <c r="D17" s="94">
        <v>2.5</v>
      </c>
      <c r="E17" s="94">
        <v>2.5</v>
      </c>
      <c r="F17" s="94">
        <v>2.5</v>
      </c>
      <c r="G17" s="94">
        <v>2.5</v>
      </c>
      <c r="H17" s="94">
        <v>2.5</v>
      </c>
      <c r="I17" s="95">
        <v>0</v>
      </c>
      <c r="J17" s="87"/>
      <c r="K17" s="87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I15"/>
  <sheetViews>
    <sheetView tabSelected="1" view="pageBreakPreview" topLeftCell="A2" zoomScale="40" zoomScaleNormal="40" zoomScaleSheetLayoutView="40" zoomScalePageLayoutView="13" workbookViewId="0">
      <selection activeCell="P8" sqref="P8"/>
    </sheetView>
  </sheetViews>
  <sheetFormatPr defaultColWidth="9.1796875" defaultRowHeight="24"/>
  <cols>
    <col min="1" max="1" width="56.453125" style="110" customWidth="1"/>
    <col min="2" max="2" width="215.7265625" style="111" customWidth="1"/>
    <col min="3" max="3" width="94" style="111" hidden="1" customWidth="1"/>
    <col min="4" max="4" width="66.453125" style="111" hidden="1" customWidth="1"/>
    <col min="5" max="5" width="9.1796875" style="111" customWidth="1"/>
    <col min="6" max="16384" width="9.1796875" style="111"/>
  </cols>
  <sheetData>
    <row r="1" spans="1:9" s="101" customFormat="1" ht="64.150000000000006" customHeight="1">
      <c r="A1" s="99"/>
      <c r="B1" s="100"/>
      <c r="C1" s="100"/>
      <c r="D1" s="100"/>
    </row>
    <row r="2" spans="1:9" s="101" customFormat="1" ht="49.15" customHeight="1">
      <c r="A2" s="100" t="str">
        <f>'[19]1. CUTTING '!B6</f>
        <v xml:space="preserve">JOB NUMBER:  </v>
      </c>
      <c r="B2" s="100" t="str">
        <f>'1. CUTTING'!D6</f>
        <v>M29  SS25  S2751</v>
      </c>
      <c r="C2" s="100"/>
      <c r="D2" s="100"/>
    </row>
    <row r="3" spans="1:9" s="101" customFormat="1" ht="49.15" customHeight="1">
      <c r="A3" s="102" t="str">
        <f>'[19]1. CUTTING '!B7</f>
        <v xml:space="preserve">STYLE NUMBER: </v>
      </c>
      <c r="B3" s="102" t="str">
        <f>'1. CUTTING'!D7</f>
        <v>M29-SS01</v>
      </c>
      <c r="C3" s="102"/>
      <c r="D3" s="102"/>
    </row>
    <row r="4" spans="1:9" s="101" customFormat="1" ht="49.15" customHeight="1">
      <c r="A4" s="102" t="str">
        <f>'[19]1. CUTTING '!B8</f>
        <v xml:space="preserve">STYLE NAME : </v>
      </c>
      <c r="B4" s="100" t="str">
        <f>'1. CUTTING'!D8</f>
        <v>RELAXED TEE</v>
      </c>
      <c r="C4" s="100"/>
      <c r="D4" s="100"/>
    </row>
    <row r="5" spans="1:9" s="101" customFormat="1" ht="76" customHeight="1">
      <c r="A5" s="103"/>
      <c r="B5" s="181" t="str">
        <f>'1. CUTTING'!A35</f>
        <v>BLACK</v>
      </c>
      <c r="C5" s="181" t="str">
        <f>'1. CUTTING'!D25</f>
        <v>BLACK</v>
      </c>
      <c r="D5" s="181" t="e">
        <f>'1. CUTTING'!#REF!</f>
        <v>#REF!</v>
      </c>
    </row>
    <row r="6" spans="1:9" s="105" customFormat="1" ht="41.5">
      <c r="A6" s="104" t="s">
        <v>120</v>
      </c>
      <c r="B6" s="201" t="str">
        <f t="shared" ref="B6:C6" si="0">B5</f>
        <v>BLACK</v>
      </c>
      <c r="C6" s="201" t="str">
        <f t="shared" si="0"/>
        <v>BLACK</v>
      </c>
      <c r="D6" s="201" t="e">
        <f t="shared" ref="D6" si="1">D5</f>
        <v>#REF!</v>
      </c>
    </row>
    <row r="7" spans="1:9" s="105" customFormat="1" ht="41.5">
      <c r="A7" s="106" t="s">
        <v>121</v>
      </c>
      <c r="B7" s="536" t="str">
        <f>'1. CUTTING'!L11</f>
        <v>NYLON RIP STOP</v>
      </c>
      <c r="C7" s="537"/>
      <c r="D7" s="537"/>
    </row>
    <row r="8" spans="1:9" s="105" customFormat="1" ht="327" customHeight="1">
      <c r="A8" s="107" t="str">
        <f>'1. CUTTING'!D36</f>
        <v>LỚP NGOÀI</v>
      </c>
      <c r="B8" s="168"/>
      <c r="C8" s="168"/>
      <c r="D8" s="168"/>
      <c r="I8" s="108"/>
    </row>
    <row r="9" spans="1:9" s="105" customFormat="1" ht="327" customHeight="1">
      <c r="A9" s="107" t="str">
        <f>'1. CUTTING'!D38</f>
        <v>LỚP TRONG</v>
      </c>
      <c r="B9" s="168"/>
      <c r="C9" s="168"/>
      <c r="D9" s="168"/>
      <c r="I9" s="108"/>
    </row>
    <row r="10" spans="1:9" s="105" customFormat="1" ht="44.25" customHeight="1">
      <c r="A10" s="104" t="str">
        <f>'1. CUTTING'!B41</f>
        <v>CON CHẶN</v>
      </c>
      <c r="B10" s="211" t="str">
        <f>'1. CUTTING'!F41</f>
        <v>BLACK</v>
      </c>
      <c r="C10" s="211" t="e">
        <f>'1. CUTTING'!#REF!</f>
        <v>#REF!</v>
      </c>
      <c r="D10" s="211" t="e">
        <f>'1. CUTTING'!#REF!</f>
        <v>#REF!</v>
      </c>
    </row>
    <row r="11" spans="1:9" s="105" customFormat="1" ht="83">
      <c r="A11" s="107" t="s">
        <v>122</v>
      </c>
      <c r="B11" s="176"/>
      <c r="C11" s="176" t="e">
        <f>'1. CUTTING'!#REF!</f>
        <v>#REF!</v>
      </c>
      <c r="D11" s="176"/>
    </row>
    <row r="12" spans="1:9" s="105" customFormat="1" ht="47.5" customHeight="1">
      <c r="A12" s="104" t="str">
        <f>'1. CUTTING'!B42</f>
        <v>MẮC CÁO</v>
      </c>
      <c r="B12" s="538" t="str">
        <f>'1. CUTTING'!F42</f>
        <v>BLACK</v>
      </c>
      <c r="C12" s="539"/>
      <c r="D12" s="539"/>
    </row>
    <row r="13" spans="1:9" s="105" customFormat="1" ht="341.5" customHeight="1">
      <c r="A13" s="109" t="s">
        <v>122</v>
      </c>
      <c r="B13" s="540"/>
      <c r="C13" s="541"/>
      <c r="D13" s="541"/>
    </row>
    <row r="14" spans="1:9" s="105" customFormat="1" ht="41.5">
      <c r="A14" s="104" t="s">
        <v>123</v>
      </c>
      <c r="B14" s="538" t="e">
        <f>'1. CUTTING'!#REF!</f>
        <v>#REF!</v>
      </c>
      <c r="C14" s="539"/>
      <c r="D14" s="539"/>
    </row>
    <row r="15" spans="1:9" s="105" customFormat="1" ht="341.5" customHeight="1">
      <c r="A15" s="109" t="s">
        <v>124</v>
      </c>
      <c r="B15" s="540"/>
      <c r="C15" s="541"/>
      <c r="D15" s="541"/>
    </row>
  </sheetData>
  <mergeCells count="5">
    <mergeCell ref="B7:D7"/>
    <mergeCell ref="B12:D12"/>
    <mergeCell ref="B13:D13"/>
    <mergeCell ref="B14:D14"/>
    <mergeCell ref="B15:D15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43AD2-19A3-42E5-BF99-AC2C7773F82D}">
  <sheetPr>
    <tabColor theme="4" tint="0.59999389629810485"/>
    <pageSetUpPr fitToPage="1"/>
  </sheetPr>
  <dimension ref="A1:R43"/>
  <sheetViews>
    <sheetView zoomScale="65" zoomScaleNormal="65" zoomScalePageLayoutView="90" workbookViewId="0">
      <selection activeCell="E12" sqref="E12"/>
    </sheetView>
  </sheetViews>
  <sheetFormatPr defaultColWidth="12.1796875" defaultRowHeight="15.5"/>
  <cols>
    <col min="1" max="1" width="15.453125" style="320" customWidth="1"/>
    <col min="2" max="2" width="52.453125" style="320" customWidth="1"/>
    <col min="3" max="3" width="29.54296875" style="320" customWidth="1"/>
    <col min="4" max="13" width="19.1796875" style="320" customWidth="1"/>
    <col min="14" max="14" width="1.1796875" style="320" customWidth="1"/>
    <col min="15" max="16384" width="12.1796875" style="320"/>
  </cols>
  <sheetData>
    <row r="1" spans="1:13" ht="16" thickBot="1">
      <c r="A1" s="551"/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</row>
    <row r="2" spans="1:13" s="322" customFormat="1" ht="18.5">
      <c r="A2" s="321"/>
      <c r="B2" s="321"/>
      <c r="C2" s="321"/>
      <c r="D2" s="580" t="str">
        <f>'[20]M-COVER PAGE'!D2</f>
        <v>Factory</v>
      </c>
      <c r="E2" s="581"/>
      <c r="F2" s="582" t="str">
        <f>'[20]M-COVER PAGE'!F5</f>
        <v>BIG TECH RUNNER</v>
      </c>
      <c r="G2" s="583"/>
      <c r="H2" s="584"/>
      <c r="I2" s="585" t="str">
        <f>'[20]M-COVER PAGE'!I2</f>
        <v>Sample size</v>
      </c>
      <c r="J2" s="581"/>
      <c r="K2" s="582" t="str">
        <f>'[20]M-COVER PAGE'!K2</f>
        <v>S/M</v>
      </c>
      <c r="L2" s="583"/>
      <c r="M2" s="586"/>
    </row>
    <row r="3" spans="1:13" s="322" customFormat="1" ht="18.5">
      <c r="A3" s="321"/>
      <c r="B3" s="321"/>
      <c r="C3" s="321"/>
      <c r="D3" s="553" t="str">
        <f>'[20]M-COVER PAGE'!D3</f>
        <v>Style</v>
      </c>
      <c r="E3" s="554"/>
      <c r="F3" s="577" t="str">
        <f>'[20]M-COVER PAGE'!F3</f>
        <v>MSCHF</v>
      </c>
      <c r="G3" s="578"/>
      <c r="H3" s="579"/>
      <c r="I3" s="558" t="str">
        <f>'[20]M-COVER PAGE'!I3</f>
        <v xml:space="preserve">Size range </v>
      </c>
      <c r="J3" s="554"/>
      <c r="K3" s="571" t="str">
        <f>'[20]M-COVER PAGE'!K3</f>
        <v>S/M, L/XL</v>
      </c>
      <c r="L3" s="572"/>
      <c r="M3" s="574"/>
    </row>
    <row r="4" spans="1:13" s="322" customFormat="1" ht="18.5">
      <c r="A4" s="321"/>
      <c r="B4" s="321"/>
      <c r="C4" s="321"/>
      <c r="D4" s="553" t="str">
        <f>'[20]M-COVER PAGE'!D4</f>
        <v xml:space="preserve"> Description</v>
      </c>
      <c r="E4" s="554"/>
      <c r="F4" s="571" t="str">
        <f>'[20]M-COVER PAGE'!F4</f>
        <v>CINCHED TOP</v>
      </c>
      <c r="G4" s="572"/>
      <c r="H4" s="573"/>
      <c r="I4" s="558">
        <f>'[20]M-COVER PAGE'!I4</f>
        <v>0</v>
      </c>
      <c r="J4" s="554"/>
      <c r="K4" s="571">
        <f>'[20]M-COVER PAGE'!K4</f>
        <v>0</v>
      </c>
      <c r="L4" s="572"/>
      <c r="M4" s="574"/>
    </row>
    <row r="5" spans="1:13" s="322" customFormat="1" ht="18.5">
      <c r="A5" s="321"/>
      <c r="B5" s="321"/>
      <c r="C5" s="321"/>
      <c r="D5" s="575" t="str">
        <f>'[20]M-COVER PAGE'!D5</f>
        <v>Season</v>
      </c>
      <c r="E5" s="576"/>
      <c r="F5" s="571" t="str">
        <f>'[20]M-COVER PAGE'!F5</f>
        <v>BIG TECH RUNNER</v>
      </c>
      <c r="G5" s="572"/>
      <c r="H5" s="573"/>
      <c r="I5" s="558" t="str">
        <f>'[20]M-COVER PAGE'!I5</f>
        <v>Sample due date</v>
      </c>
      <c r="J5" s="554"/>
      <c r="K5" s="571">
        <f>'[20]M-COVER PAGE'!K5</f>
        <v>0</v>
      </c>
      <c r="L5" s="572"/>
      <c r="M5" s="574"/>
    </row>
    <row r="6" spans="1:13" s="322" customFormat="1" ht="18.5">
      <c r="A6" s="321"/>
      <c r="B6" s="321"/>
      <c r="C6" s="321"/>
      <c r="D6" s="553" t="str">
        <f>'[20]M-COVER PAGE'!D6</f>
        <v>Date created</v>
      </c>
      <c r="E6" s="554"/>
      <c r="F6" s="555">
        <f>'[20]M-COVER PAGE'!F6</f>
        <v>45367</v>
      </c>
      <c r="G6" s="556"/>
      <c r="H6" s="557"/>
      <c r="I6" s="558" t="str">
        <f>'[20]M-COVER PAGE'!I6</f>
        <v>Reference style</v>
      </c>
      <c r="J6" s="554"/>
      <c r="K6" s="559">
        <f>'[20]M-COVER PAGE'!K6</f>
        <v>0</v>
      </c>
      <c r="L6" s="560"/>
      <c r="M6" s="561"/>
    </row>
    <row r="7" spans="1:13" s="322" customFormat="1" ht="19" thickBot="1">
      <c r="A7" s="321"/>
      <c r="B7" s="321"/>
      <c r="C7" s="321"/>
      <c r="D7" s="562" t="str">
        <f>'[20]M-COVER PAGE'!D7</f>
        <v>Date revised</v>
      </c>
      <c r="E7" s="563"/>
      <c r="F7" s="564" t="str">
        <f>'[20]M-COVER PAGE'!F7</f>
        <v>5/14/2024, 5/22/24</v>
      </c>
      <c r="G7" s="565"/>
      <c r="H7" s="566"/>
      <c r="I7" s="567" t="str">
        <f>'[20]M-COVER PAGE'!I7</f>
        <v>STATUS</v>
      </c>
      <c r="J7" s="563"/>
      <c r="K7" s="568" t="str">
        <f>'[20]M-COVER PAGE'!K7</f>
        <v>SUBMIT PROTO</v>
      </c>
      <c r="L7" s="569"/>
      <c r="M7" s="570"/>
    </row>
    <row r="8" spans="1:13" ht="9" customHeight="1">
      <c r="A8" s="551"/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</row>
    <row r="9" spans="1:13" ht="24" thickBot="1">
      <c r="A9" s="552" t="s">
        <v>125</v>
      </c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</row>
    <row r="10" spans="1:13" s="327" customFormat="1" ht="18.5">
      <c r="A10" s="323" t="s">
        <v>126</v>
      </c>
      <c r="B10" s="324" t="s">
        <v>127</v>
      </c>
      <c r="C10" s="324" t="s">
        <v>128</v>
      </c>
      <c r="D10" s="325" t="s">
        <v>129</v>
      </c>
      <c r="E10" s="325" t="s">
        <v>130</v>
      </c>
      <c r="F10" s="325" t="s">
        <v>131</v>
      </c>
      <c r="G10" s="325" t="s">
        <v>132</v>
      </c>
      <c r="H10" s="325" t="s">
        <v>133</v>
      </c>
      <c r="I10" s="325" t="s">
        <v>134</v>
      </c>
      <c r="J10" s="325" t="s">
        <v>135</v>
      </c>
      <c r="K10" s="325" t="s">
        <v>136</v>
      </c>
      <c r="L10" s="325"/>
      <c r="M10" s="326"/>
    </row>
    <row r="11" spans="1:13" ht="61.75" customHeight="1">
      <c r="A11" s="328" t="s">
        <v>137</v>
      </c>
      <c r="B11" s="329" t="s">
        <v>138</v>
      </c>
      <c r="C11" s="329" t="s">
        <v>139</v>
      </c>
      <c r="D11" s="329"/>
      <c r="E11" s="330" t="s">
        <v>140</v>
      </c>
      <c r="F11" s="329"/>
      <c r="G11" s="329"/>
      <c r="H11" s="329"/>
      <c r="I11" s="329"/>
      <c r="J11" s="331"/>
      <c r="K11" s="545"/>
      <c r="L11" s="546"/>
      <c r="M11" s="547"/>
    </row>
    <row r="12" spans="1:13" ht="40.5" customHeight="1">
      <c r="A12" s="328" t="s">
        <v>141</v>
      </c>
      <c r="B12" s="329" t="s">
        <v>142</v>
      </c>
      <c r="C12" s="329" t="s">
        <v>143</v>
      </c>
      <c r="D12" s="329"/>
      <c r="E12" s="330" t="s">
        <v>140</v>
      </c>
      <c r="F12" s="329"/>
      <c r="G12" s="329"/>
      <c r="H12" s="329"/>
      <c r="I12" s="329"/>
      <c r="J12" s="331"/>
      <c r="K12" s="545"/>
      <c r="L12" s="546"/>
      <c r="M12" s="547"/>
    </row>
    <row r="13" spans="1:13" ht="40.5" customHeight="1">
      <c r="A13" s="328"/>
      <c r="B13" s="329"/>
      <c r="C13" s="329"/>
      <c r="D13" s="329"/>
      <c r="E13" s="329"/>
      <c r="F13" s="329"/>
      <c r="G13" s="329"/>
      <c r="H13" s="329"/>
      <c r="I13" s="329"/>
      <c r="J13" s="331"/>
      <c r="K13" s="545"/>
      <c r="L13" s="546"/>
      <c r="M13" s="547"/>
    </row>
    <row r="14" spans="1:13" ht="40.5" customHeight="1">
      <c r="A14" s="328"/>
      <c r="B14" s="329"/>
      <c r="C14" s="329"/>
      <c r="D14" s="329"/>
      <c r="E14" s="329"/>
      <c r="F14" s="329"/>
      <c r="G14" s="329"/>
      <c r="H14" s="329"/>
      <c r="I14" s="329"/>
      <c r="J14" s="331"/>
      <c r="K14" s="545"/>
      <c r="L14" s="546"/>
      <c r="M14" s="547"/>
    </row>
    <row r="15" spans="1:13" ht="18.5">
      <c r="A15" s="335" t="s">
        <v>144</v>
      </c>
      <c r="B15" s="336" t="s">
        <v>145</v>
      </c>
      <c r="C15" s="337"/>
      <c r="D15" s="337"/>
      <c r="E15" s="337"/>
      <c r="F15" s="338"/>
      <c r="G15" s="338"/>
      <c r="H15" s="337"/>
      <c r="I15" s="337"/>
      <c r="J15" s="337"/>
      <c r="K15" s="337"/>
      <c r="L15" s="337"/>
      <c r="M15" s="339"/>
    </row>
    <row r="16" spans="1:13" ht="40.5" customHeight="1">
      <c r="A16" s="328" t="s">
        <v>146</v>
      </c>
      <c r="B16" s="329" t="s">
        <v>147</v>
      </c>
      <c r="C16" s="329" t="s">
        <v>148</v>
      </c>
      <c r="D16" s="329"/>
      <c r="E16" s="330" t="s">
        <v>140</v>
      </c>
      <c r="F16" s="330" t="s">
        <v>149</v>
      </c>
      <c r="G16" s="330"/>
      <c r="H16" s="330"/>
      <c r="I16" s="330"/>
      <c r="J16" s="331"/>
      <c r="K16" s="545"/>
      <c r="L16" s="546"/>
      <c r="M16" s="547"/>
    </row>
    <row r="17" spans="1:18" ht="40.5" customHeight="1">
      <c r="A17" s="328" t="s">
        <v>150</v>
      </c>
      <c r="B17" s="329" t="s">
        <v>151</v>
      </c>
      <c r="C17" s="329" t="s">
        <v>148</v>
      </c>
      <c r="D17" s="329"/>
      <c r="E17" s="340" t="s">
        <v>32</v>
      </c>
      <c r="F17" s="330" t="s">
        <v>45</v>
      </c>
      <c r="G17" s="330"/>
      <c r="H17" s="330"/>
      <c r="I17" s="330"/>
      <c r="J17" s="331"/>
      <c r="K17" s="548" t="s">
        <v>152</v>
      </c>
      <c r="L17" s="549"/>
      <c r="M17" s="550"/>
    </row>
    <row r="18" spans="1:18" ht="40.5" customHeight="1">
      <c r="A18" s="328" t="s">
        <v>153</v>
      </c>
      <c r="B18" s="329" t="s">
        <v>154</v>
      </c>
      <c r="C18" s="329" t="s">
        <v>148</v>
      </c>
      <c r="D18" s="329"/>
      <c r="E18" s="340" t="s">
        <v>32</v>
      </c>
      <c r="F18" s="330" t="s">
        <v>45</v>
      </c>
      <c r="G18" s="330"/>
      <c r="H18" s="330"/>
      <c r="I18" s="330"/>
      <c r="J18" s="331"/>
      <c r="K18" s="548" t="s">
        <v>152</v>
      </c>
      <c r="L18" s="549"/>
      <c r="M18" s="550"/>
    </row>
    <row r="19" spans="1:18" ht="40.5" customHeight="1">
      <c r="A19" s="328" t="s">
        <v>155</v>
      </c>
      <c r="B19" s="329" t="s">
        <v>156</v>
      </c>
      <c r="C19" s="329" t="s">
        <v>157</v>
      </c>
      <c r="D19" s="329"/>
      <c r="E19" s="329" t="s">
        <v>140</v>
      </c>
      <c r="F19" s="330" t="s">
        <v>45</v>
      </c>
      <c r="G19" s="330"/>
      <c r="H19" s="330"/>
      <c r="I19" s="330"/>
      <c r="J19" s="331"/>
      <c r="K19" s="545"/>
      <c r="L19" s="546"/>
      <c r="M19" s="547"/>
    </row>
    <row r="20" spans="1:18" ht="40.5" customHeight="1">
      <c r="A20" s="328" t="s">
        <v>158</v>
      </c>
      <c r="B20" s="329" t="s">
        <v>159</v>
      </c>
      <c r="C20" s="329" t="s">
        <v>157</v>
      </c>
      <c r="D20" s="329"/>
      <c r="E20" s="329" t="s">
        <v>140</v>
      </c>
      <c r="F20" s="330" t="s">
        <v>45</v>
      </c>
      <c r="G20" s="330"/>
      <c r="H20" s="330"/>
      <c r="I20" s="330"/>
      <c r="J20" s="331"/>
      <c r="K20" s="332"/>
      <c r="L20" s="333"/>
      <c r="M20" s="334"/>
    </row>
    <row r="21" spans="1:18" ht="40.5" customHeight="1">
      <c r="A21" s="328" t="s">
        <v>160</v>
      </c>
      <c r="B21" s="329" t="s">
        <v>161</v>
      </c>
      <c r="C21" s="329" t="s">
        <v>157</v>
      </c>
      <c r="D21" s="329"/>
      <c r="E21" s="329" t="s">
        <v>140</v>
      </c>
      <c r="F21" s="330" t="s">
        <v>162</v>
      </c>
      <c r="G21" s="330"/>
      <c r="H21" s="330"/>
      <c r="I21" s="330"/>
      <c r="J21" s="331"/>
      <c r="K21" s="332"/>
      <c r="L21" s="333"/>
      <c r="M21" s="334"/>
    </row>
    <row r="22" spans="1:18" ht="40.5" customHeight="1">
      <c r="A22" s="328"/>
      <c r="B22" s="329"/>
      <c r="C22" s="329"/>
      <c r="D22" s="329"/>
      <c r="E22" s="329"/>
      <c r="F22" s="330"/>
      <c r="G22" s="330"/>
      <c r="H22" s="330"/>
      <c r="I22" s="330"/>
      <c r="J22" s="331"/>
      <c r="K22" s="545"/>
      <c r="L22" s="546"/>
      <c r="M22" s="547"/>
      <c r="P22" s="327"/>
      <c r="Q22" s="327"/>
      <c r="R22" s="327"/>
    </row>
    <row r="23" spans="1:18" ht="18.5">
      <c r="A23" s="335" t="s">
        <v>163</v>
      </c>
      <c r="B23" s="336" t="s">
        <v>164</v>
      </c>
      <c r="C23" s="337"/>
      <c r="D23" s="337"/>
      <c r="E23" s="337"/>
      <c r="F23" s="337"/>
      <c r="G23" s="337"/>
      <c r="H23" s="337"/>
      <c r="I23" s="337"/>
      <c r="J23" s="337"/>
      <c r="K23" s="337"/>
      <c r="L23" s="337"/>
      <c r="M23" s="339"/>
    </row>
    <row r="24" spans="1:18" ht="40.5" customHeight="1">
      <c r="A24" s="328" t="s">
        <v>165</v>
      </c>
      <c r="B24" s="330" t="s">
        <v>166</v>
      </c>
      <c r="C24" s="330" t="s">
        <v>167</v>
      </c>
      <c r="D24" s="330"/>
      <c r="E24" s="330" t="s">
        <v>140</v>
      </c>
      <c r="F24" s="330" t="s">
        <v>168</v>
      </c>
      <c r="G24" s="330"/>
      <c r="H24" s="330"/>
      <c r="I24" s="330"/>
      <c r="J24" s="331"/>
      <c r="K24" s="545"/>
      <c r="L24" s="546"/>
      <c r="M24" s="547"/>
    </row>
    <row r="25" spans="1:18" ht="40.5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31"/>
      <c r="K25" s="545"/>
      <c r="L25" s="546"/>
      <c r="M25" s="547"/>
    </row>
    <row r="26" spans="1:18" ht="15.65" customHeight="1">
      <c r="A26" s="335" t="s">
        <v>169</v>
      </c>
      <c r="B26" s="336" t="s">
        <v>164</v>
      </c>
      <c r="C26" s="337"/>
      <c r="D26" s="337"/>
      <c r="E26" s="337"/>
      <c r="F26" s="337"/>
      <c r="G26" s="337"/>
      <c r="H26" s="337"/>
      <c r="I26" s="337"/>
      <c r="J26" s="341"/>
      <c r="K26" s="341"/>
      <c r="L26" s="341"/>
      <c r="M26" s="342"/>
    </row>
    <row r="27" spans="1:18" ht="40.5" customHeight="1">
      <c r="A27" s="328" t="s">
        <v>170</v>
      </c>
      <c r="B27" s="329" t="s">
        <v>171</v>
      </c>
      <c r="C27" s="329"/>
      <c r="D27" s="329"/>
      <c r="E27" s="340" t="s">
        <v>32</v>
      </c>
      <c r="F27" s="329"/>
      <c r="G27" s="329"/>
      <c r="H27" s="329"/>
      <c r="I27" s="329"/>
      <c r="J27" s="331"/>
      <c r="K27" s="548" t="s">
        <v>172</v>
      </c>
      <c r="L27" s="549"/>
      <c r="M27" s="550"/>
    </row>
    <row r="28" spans="1:18" ht="40.5" customHeight="1">
      <c r="A28" s="328" t="s">
        <v>173</v>
      </c>
      <c r="B28" s="329" t="s">
        <v>171</v>
      </c>
      <c r="C28" s="329"/>
      <c r="D28" s="329"/>
      <c r="E28" s="340" t="s">
        <v>32</v>
      </c>
      <c r="F28" s="329"/>
      <c r="G28" s="329"/>
      <c r="H28" s="329"/>
      <c r="I28" s="329"/>
      <c r="J28" s="331"/>
      <c r="K28" s="548" t="s">
        <v>172</v>
      </c>
      <c r="L28" s="549"/>
      <c r="M28" s="550"/>
    </row>
    <row r="29" spans="1:18" ht="40.5" customHeight="1">
      <c r="A29" s="328" t="s">
        <v>174</v>
      </c>
      <c r="B29" s="329" t="s">
        <v>171</v>
      </c>
      <c r="C29" s="329"/>
      <c r="D29" s="329"/>
      <c r="E29" s="330" t="s">
        <v>140</v>
      </c>
      <c r="F29" s="329"/>
      <c r="G29" s="329"/>
      <c r="H29" s="329"/>
      <c r="I29" s="329"/>
      <c r="J29" s="331"/>
      <c r="K29" s="545"/>
      <c r="L29" s="546"/>
      <c r="M29" s="547"/>
    </row>
    <row r="30" spans="1:18" ht="40.5" customHeight="1">
      <c r="A30" s="328"/>
      <c r="B30" s="329"/>
      <c r="C30" s="329"/>
      <c r="D30" s="329"/>
      <c r="E30" s="329"/>
      <c r="F30" s="329"/>
      <c r="G30" s="329"/>
      <c r="H30" s="329"/>
      <c r="I30" s="329"/>
      <c r="J30" s="331"/>
      <c r="K30" s="545"/>
      <c r="L30" s="546"/>
      <c r="M30" s="547"/>
    </row>
    <row r="31" spans="1:18" ht="15.65" customHeight="1">
      <c r="A31" s="335" t="s">
        <v>175</v>
      </c>
      <c r="B31" s="336"/>
      <c r="C31" s="337"/>
      <c r="D31" s="337"/>
      <c r="E31" s="337"/>
      <c r="F31" s="337"/>
      <c r="G31" s="337"/>
      <c r="H31" s="337"/>
      <c r="I31" s="337"/>
      <c r="J31" s="341"/>
      <c r="K31" s="341"/>
      <c r="L31" s="341"/>
      <c r="M31" s="342"/>
    </row>
    <row r="32" spans="1:18" ht="40.5" customHeight="1">
      <c r="A32" s="328" t="s">
        <v>176</v>
      </c>
      <c r="B32" s="329" t="s">
        <v>177</v>
      </c>
      <c r="C32" s="329"/>
      <c r="D32" s="329"/>
      <c r="E32" s="329"/>
      <c r="F32" s="329" t="s">
        <v>85</v>
      </c>
      <c r="G32" s="329"/>
      <c r="H32" s="329"/>
      <c r="I32" s="329"/>
      <c r="J32" s="331"/>
      <c r="K32" s="545"/>
      <c r="L32" s="546"/>
      <c r="M32" s="547"/>
    </row>
    <row r="33" spans="1:13" ht="40.5" customHeight="1" thickBot="1">
      <c r="A33" s="343"/>
      <c r="B33" s="344"/>
      <c r="C33" s="344"/>
      <c r="D33" s="344"/>
      <c r="E33" s="344"/>
      <c r="F33" s="344"/>
      <c r="G33" s="344"/>
      <c r="H33" s="344"/>
      <c r="I33" s="344"/>
      <c r="J33" s="345"/>
      <c r="K33" s="542"/>
      <c r="L33" s="543"/>
      <c r="M33" s="544"/>
    </row>
    <row r="34" spans="1:13" ht="24.65" customHeight="1"/>
    <row r="35" spans="1:13" ht="15.65" customHeight="1"/>
    <row r="43" spans="1:13" s="346" customFormat="1" ht="16.399999999999999" customHeight="1">
      <c r="A43" s="320"/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0"/>
    </row>
  </sheetData>
  <mergeCells count="44">
    <mergeCell ref="D3:E3"/>
    <mergeCell ref="F3:H3"/>
    <mergeCell ref="I3:J3"/>
    <mergeCell ref="K3:M3"/>
    <mergeCell ref="A1:M1"/>
    <mergeCell ref="D2:E2"/>
    <mergeCell ref="F2:H2"/>
    <mergeCell ref="I2:J2"/>
    <mergeCell ref="K2:M2"/>
    <mergeCell ref="D4:E4"/>
    <mergeCell ref="F4:H4"/>
    <mergeCell ref="I4:J4"/>
    <mergeCell ref="K4:M4"/>
    <mergeCell ref="D5:E5"/>
    <mergeCell ref="F5:H5"/>
    <mergeCell ref="I5:J5"/>
    <mergeCell ref="K5:M5"/>
    <mergeCell ref="D6:E6"/>
    <mergeCell ref="F6:H6"/>
    <mergeCell ref="I6:J6"/>
    <mergeCell ref="K6:M6"/>
    <mergeCell ref="D7:E7"/>
    <mergeCell ref="F7:H7"/>
    <mergeCell ref="I7:J7"/>
    <mergeCell ref="K7:M7"/>
    <mergeCell ref="K24:M24"/>
    <mergeCell ref="A8:M8"/>
    <mergeCell ref="A9:M9"/>
    <mergeCell ref="K11:M11"/>
    <mergeCell ref="K12:M12"/>
    <mergeCell ref="K13:M13"/>
    <mergeCell ref="K14:M14"/>
    <mergeCell ref="K16:M16"/>
    <mergeCell ref="K17:M17"/>
    <mergeCell ref="K18:M18"/>
    <mergeCell ref="K19:M19"/>
    <mergeCell ref="K22:M22"/>
    <mergeCell ref="K33:M33"/>
    <mergeCell ref="K25:M25"/>
    <mergeCell ref="K27:M27"/>
    <mergeCell ref="K28:M28"/>
    <mergeCell ref="K29:M29"/>
    <mergeCell ref="K30:M30"/>
    <mergeCell ref="K32:M32"/>
  </mergeCells>
  <printOptions horizontalCentered="1"/>
  <pageMargins left="0.25" right="0.25" top="0.75" bottom="0.75" header="0.3" footer="0.3"/>
  <pageSetup scale="48" fitToHeight="2" orientation="landscape" r:id="rId1"/>
  <headerFooter>
    <oddFooter>&amp;L&amp;F&amp;C&amp;A&amp;R&amp;D&amp;T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FE180-ADFC-4FA8-A4B4-4A695BC5095B}">
  <sheetPr>
    <tabColor theme="4" tint="0.59999389629810485"/>
    <pageSetUpPr fitToPage="1"/>
  </sheetPr>
  <dimension ref="A1:M105"/>
  <sheetViews>
    <sheetView topLeftCell="A16" zoomScale="38" zoomScaleNormal="65" zoomScalePageLayoutView="90" workbookViewId="0">
      <selection activeCell="Q29" sqref="Q29"/>
    </sheetView>
  </sheetViews>
  <sheetFormatPr defaultColWidth="12.1796875" defaultRowHeight="15.5"/>
  <cols>
    <col min="1" max="3" width="28.81640625" style="320" customWidth="1"/>
    <col min="4" max="13" width="19.1796875" style="320" customWidth="1"/>
    <col min="14" max="16384" width="12.1796875" style="320"/>
  </cols>
  <sheetData>
    <row r="1" spans="1:13" ht="16" thickBot="1">
      <c r="A1" s="551"/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</row>
    <row r="2" spans="1:13" s="322" customFormat="1" ht="18.5">
      <c r="A2" s="321"/>
      <c r="B2" s="321"/>
      <c r="C2" s="347"/>
      <c r="D2" s="580" t="str">
        <f>'[20]M-COVER PAGE'!D2</f>
        <v>Factory</v>
      </c>
      <c r="E2" s="581"/>
      <c r="F2" s="582" t="str">
        <f>'[20]M-COVER PAGE'!F5</f>
        <v>BIG TECH RUNNER</v>
      </c>
      <c r="G2" s="583"/>
      <c r="H2" s="584"/>
      <c r="I2" s="585" t="str">
        <f>'[20]M-COVER PAGE'!I2</f>
        <v>Sample size</v>
      </c>
      <c r="J2" s="581"/>
      <c r="K2" s="582" t="str">
        <f>'[20]M-COVER PAGE'!K2</f>
        <v>S/M</v>
      </c>
      <c r="L2" s="583"/>
      <c r="M2" s="586"/>
    </row>
    <row r="3" spans="1:13" s="322" customFormat="1" ht="18.5">
      <c r="A3" s="321"/>
      <c r="B3" s="321"/>
      <c r="C3" s="347"/>
      <c r="D3" s="553" t="str">
        <f>'[20]M-COVER PAGE'!D3</f>
        <v>Style</v>
      </c>
      <c r="E3" s="554"/>
      <c r="F3" s="577" t="str">
        <f>'[20]M-COVER PAGE'!F3</f>
        <v>MSCHF</v>
      </c>
      <c r="G3" s="578"/>
      <c r="H3" s="579"/>
      <c r="I3" s="558" t="str">
        <f>'[20]M-COVER PAGE'!I3</f>
        <v xml:space="preserve">Size range </v>
      </c>
      <c r="J3" s="554"/>
      <c r="K3" s="571" t="str">
        <f>'[20]M-COVER PAGE'!K3</f>
        <v>S/M, L/XL</v>
      </c>
      <c r="L3" s="572"/>
      <c r="M3" s="574"/>
    </row>
    <row r="4" spans="1:13" s="322" customFormat="1" ht="18.5">
      <c r="A4" s="321"/>
      <c r="B4" s="321"/>
      <c r="C4" s="347"/>
      <c r="D4" s="553" t="str">
        <f>'[20]M-COVER PAGE'!D4</f>
        <v xml:space="preserve"> Description</v>
      </c>
      <c r="E4" s="554"/>
      <c r="F4" s="571" t="str">
        <f>'[20]M-COVER PAGE'!F4</f>
        <v>CINCHED TOP</v>
      </c>
      <c r="G4" s="572"/>
      <c r="H4" s="573"/>
      <c r="I4" s="558">
        <f>'[20]M-COVER PAGE'!I4</f>
        <v>0</v>
      </c>
      <c r="J4" s="554"/>
      <c r="K4" s="571">
        <f>'[20]M-COVER PAGE'!K4</f>
        <v>0</v>
      </c>
      <c r="L4" s="572"/>
      <c r="M4" s="574"/>
    </row>
    <row r="5" spans="1:13" s="322" customFormat="1" ht="18.5">
      <c r="A5" s="321"/>
      <c r="B5" s="321"/>
      <c r="C5" s="348"/>
      <c r="D5" s="575" t="str">
        <f>'[20]M-COVER PAGE'!D5</f>
        <v>Season</v>
      </c>
      <c r="E5" s="576"/>
      <c r="F5" s="571" t="str">
        <f>'[20]M-COVER PAGE'!F5</f>
        <v>BIG TECH RUNNER</v>
      </c>
      <c r="G5" s="572"/>
      <c r="H5" s="573"/>
      <c r="I5" s="558" t="str">
        <f>'[20]M-COVER PAGE'!I5</f>
        <v>Sample due date</v>
      </c>
      <c r="J5" s="554"/>
      <c r="K5" s="571">
        <f>'[20]M-COVER PAGE'!K5</f>
        <v>0</v>
      </c>
      <c r="L5" s="572"/>
      <c r="M5" s="574"/>
    </row>
    <row r="6" spans="1:13" s="322" customFormat="1" ht="18.5">
      <c r="A6" s="321"/>
      <c r="B6" s="321"/>
      <c r="C6" s="347"/>
      <c r="D6" s="553" t="str">
        <f>'[20]M-COVER PAGE'!D6</f>
        <v>Date created</v>
      </c>
      <c r="E6" s="554"/>
      <c r="F6" s="555">
        <f>'[20]M-COVER PAGE'!F6</f>
        <v>45367</v>
      </c>
      <c r="G6" s="556"/>
      <c r="H6" s="557"/>
      <c r="I6" s="558" t="str">
        <f>'[20]M-COVER PAGE'!I6</f>
        <v>Reference style</v>
      </c>
      <c r="J6" s="554"/>
      <c r="K6" s="559">
        <f>'[20]M-COVER PAGE'!K6</f>
        <v>0</v>
      </c>
      <c r="L6" s="560"/>
      <c r="M6" s="561"/>
    </row>
    <row r="7" spans="1:13" s="322" customFormat="1" ht="19" thickBot="1">
      <c r="A7" s="321"/>
      <c r="B7" s="321"/>
      <c r="C7" s="347"/>
      <c r="D7" s="562" t="str">
        <f>'[20]M-COVER PAGE'!D7</f>
        <v>Date revised</v>
      </c>
      <c r="E7" s="563"/>
      <c r="F7" s="564" t="str">
        <f>'[20]M-COVER PAGE'!F7</f>
        <v>5/14/2024, 5/22/24</v>
      </c>
      <c r="G7" s="565"/>
      <c r="H7" s="566"/>
      <c r="I7" s="567" t="str">
        <f>'[20]M-COVER PAGE'!I7</f>
        <v>STATUS</v>
      </c>
      <c r="J7" s="563"/>
      <c r="K7" s="568" t="str">
        <f>'[20]M-COVER PAGE'!K7</f>
        <v>SUBMIT PROTO</v>
      </c>
      <c r="L7" s="569"/>
      <c r="M7" s="570"/>
    </row>
    <row r="8" spans="1:13" ht="9" customHeight="1">
      <c r="A8" s="551"/>
      <c r="B8" s="551"/>
      <c r="C8" s="551"/>
      <c r="D8" s="587"/>
      <c r="E8" s="587"/>
      <c r="F8" s="587"/>
      <c r="G8" s="587"/>
      <c r="H8" s="587"/>
      <c r="I8" s="587"/>
      <c r="J8" s="587"/>
      <c r="K8" s="587"/>
      <c r="L8" s="587"/>
      <c r="M8" s="587"/>
    </row>
    <row r="9" spans="1:13" ht="24" thickBot="1">
      <c r="A9" s="588" t="s">
        <v>178</v>
      </c>
      <c r="B9" s="588"/>
      <c r="C9" s="588"/>
      <c r="D9" s="588"/>
      <c r="E9" s="588"/>
      <c r="F9" s="588"/>
      <c r="G9" s="588"/>
      <c r="H9" s="588"/>
      <c r="I9" s="588"/>
      <c r="J9" s="588"/>
      <c r="K9" s="588"/>
      <c r="L9" s="588"/>
      <c r="M9" s="588"/>
    </row>
    <row r="10" spans="1:13" s="327" customFormat="1" ht="20.25" customHeight="1">
      <c r="A10" s="349"/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1"/>
    </row>
    <row r="11" spans="1:13" ht="20.25" customHeight="1">
      <c r="A11" s="352"/>
      <c r="B11" s="353"/>
      <c r="C11" s="353"/>
      <c r="D11" s="353"/>
      <c r="E11" s="353"/>
      <c r="F11" s="353"/>
      <c r="G11" s="353"/>
      <c r="H11" s="353"/>
      <c r="I11" s="353"/>
      <c r="J11" s="353"/>
      <c r="K11" s="353"/>
      <c r="L11" s="353"/>
      <c r="M11" s="354"/>
    </row>
    <row r="12" spans="1:13" ht="20.25" customHeight="1">
      <c r="A12" s="352"/>
      <c r="B12" s="353"/>
      <c r="C12" s="353"/>
      <c r="D12" s="353"/>
      <c r="E12" s="353"/>
      <c r="F12" s="353"/>
      <c r="G12" s="353"/>
      <c r="H12" s="353"/>
      <c r="I12" s="353"/>
      <c r="J12" s="353"/>
      <c r="K12" s="353"/>
      <c r="L12" s="353"/>
      <c r="M12" s="354"/>
    </row>
    <row r="13" spans="1:13" ht="20.25" customHeight="1">
      <c r="A13" s="352"/>
      <c r="B13" s="353"/>
      <c r="C13" s="353"/>
      <c r="D13" s="353"/>
      <c r="E13" s="353"/>
      <c r="F13" s="353"/>
      <c r="G13" s="353"/>
      <c r="H13" s="353"/>
      <c r="I13" s="353"/>
      <c r="J13" s="353"/>
      <c r="K13" s="353"/>
      <c r="L13" s="353"/>
      <c r="M13" s="354"/>
    </row>
    <row r="14" spans="1:13" ht="20.25" customHeight="1">
      <c r="A14" s="352"/>
      <c r="B14" s="353"/>
      <c r="C14" s="353"/>
      <c r="D14" s="353"/>
      <c r="E14" s="353"/>
      <c r="F14" s="353"/>
      <c r="G14" s="353"/>
      <c r="H14" s="353"/>
      <c r="I14" s="353"/>
      <c r="J14" s="353"/>
      <c r="K14" s="353"/>
      <c r="L14" s="353"/>
      <c r="M14" s="354"/>
    </row>
    <row r="15" spans="1:13" ht="20.25" customHeight="1">
      <c r="A15" s="352"/>
      <c r="B15" s="353"/>
      <c r="C15" s="353"/>
      <c r="D15" s="353"/>
      <c r="E15" s="353"/>
      <c r="F15" s="353"/>
      <c r="G15" s="353"/>
      <c r="H15" s="353"/>
      <c r="I15" s="353"/>
      <c r="J15" s="353"/>
      <c r="K15" s="353"/>
      <c r="L15" s="353"/>
      <c r="M15" s="354"/>
    </row>
    <row r="16" spans="1:13" ht="20.25" customHeight="1">
      <c r="A16" s="352"/>
      <c r="B16" s="353"/>
      <c r="C16" s="353"/>
      <c r="D16" s="353"/>
      <c r="E16" s="353"/>
      <c r="F16" s="353"/>
      <c r="G16" s="353"/>
      <c r="H16" s="353"/>
      <c r="I16" s="353"/>
      <c r="J16" s="353"/>
      <c r="K16" s="353"/>
      <c r="L16" s="353"/>
      <c r="M16" s="354"/>
    </row>
    <row r="17" spans="1:13" ht="20.25" customHeight="1">
      <c r="A17" s="352"/>
      <c r="B17" s="353"/>
      <c r="C17" s="353"/>
      <c r="D17" s="353"/>
      <c r="E17" s="353"/>
      <c r="F17" s="353"/>
      <c r="G17" s="353"/>
      <c r="H17" s="353"/>
      <c r="I17" s="353"/>
      <c r="J17" s="353"/>
      <c r="K17" s="353"/>
      <c r="L17" s="353"/>
      <c r="M17" s="354"/>
    </row>
    <row r="18" spans="1:13" ht="20.25" customHeight="1">
      <c r="A18" s="352"/>
      <c r="B18" s="353"/>
      <c r="C18" s="353"/>
      <c r="D18" s="353"/>
      <c r="E18" s="353"/>
      <c r="F18" s="353"/>
      <c r="G18" s="353"/>
      <c r="H18" s="353"/>
      <c r="I18" s="353"/>
      <c r="J18" s="353"/>
      <c r="K18" s="353"/>
      <c r="L18" s="353"/>
      <c r="M18" s="354"/>
    </row>
    <row r="19" spans="1:13" ht="20.25" customHeight="1">
      <c r="A19" s="352"/>
      <c r="B19" s="353"/>
      <c r="C19" s="353"/>
      <c r="D19" s="353"/>
      <c r="E19" s="353"/>
      <c r="F19" s="353"/>
      <c r="G19" s="353"/>
      <c r="H19" s="353"/>
      <c r="I19" s="353"/>
      <c r="J19" s="353"/>
      <c r="K19" s="353"/>
      <c r="L19" s="353"/>
      <c r="M19" s="354"/>
    </row>
    <row r="20" spans="1:13" ht="20.25" customHeight="1">
      <c r="A20" s="352"/>
      <c r="B20" s="353"/>
      <c r="C20" s="353"/>
      <c r="D20" s="353"/>
      <c r="E20" s="353"/>
      <c r="F20" s="353"/>
      <c r="G20" s="353"/>
      <c r="H20" s="353"/>
      <c r="I20" s="353"/>
      <c r="J20" s="353"/>
      <c r="K20" s="353"/>
      <c r="L20" s="353"/>
      <c r="M20" s="354"/>
    </row>
    <row r="21" spans="1:13" ht="20.25" customHeight="1">
      <c r="A21" s="352"/>
      <c r="B21" s="353"/>
      <c r="C21" s="353"/>
      <c r="D21" s="353"/>
      <c r="E21" s="353"/>
      <c r="F21" s="353"/>
      <c r="G21" s="353"/>
      <c r="H21" s="353"/>
      <c r="I21" s="353"/>
      <c r="J21" s="353"/>
      <c r="K21" s="353"/>
      <c r="L21" s="353"/>
      <c r="M21" s="354"/>
    </row>
    <row r="22" spans="1:13" ht="20.25" customHeight="1">
      <c r="A22" s="352"/>
      <c r="B22" s="353"/>
      <c r="C22" s="353"/>
      <c r="D22" s="353"/>
      <c r="E22" s="353"/>
      <c r="F22" s="353"/>
      <c r="G22" s="353"/>
      <c r="H22" s="353"/>
      <c r="I22" s="353"/>
      <c r="J22" s="353"/>
      <c r="K22" s="353"/>
      <c r="L22" s="353"/>
      <c r="M22" s="354"/>
    </row>
    <row r="23" spans="1:13" ht="20.25" customHeight="1">
      <c r="A23" s="352"/>
      <c r="B23" s="353"/>
      <c r="C23" s="353"/>
      <c r="D23" s="353"/>
      <c r="E23" s="353"/>
      <c r="F23" s="353"/>
      <c r="G23" s="353"/>
      <c r="H23" s="353"/>
      <c r="I23" s="353"/>
      <c r="J23" s="353"/>
      <c r="K23" s="353"/>
      <c r="L23" s="353"/>
      <c r="M23" s="354"/>
    </row>
    <row r="24" spans="1:13" ht="20.25" customHeight="1">
      <c r="A24" s="352"/>
      <c r="B24" s="353"/>
      <c r="C24" s="353"/>
      <c r="D24" s="353"/>
      <c r="E24" s="353"/>
      <c r="F24" s="353"/>
      <c r="G24" s="353"/>
      <c r="H24" s="353"/>
      <c r="I24" s="353"/>
      <c r="J24" s="353"/>
      <c r="K24" s="353"/>
      <c r="L24" s="353"/>
      <c r="M24" s="354"/>
    </row>
    <row r="25" spans="1:13" ht="20.25" customHeight="1">
      <c r="A25" s="352"/>
      <c r="B25" s="353"/>
      <c r="C25" s="353"/>
      <c r="D25" s="353"/>
      <c r="E25" s="353"/>
      <c r="F25" s="353"/>
      <c r="G25" s="353"/>
      <c r="H25" s="353"/>
      <c r="I25" s="353"/>
      <c r="J25" s="353"/>
      <c r="K25" s="353"/>
      <c r="L25" s="353"/>
      <c r="M25" s="354"/>
    </row>
    <row r="26" spans="1:13" ht="20.25" customHeight="1">
      <c r="A26" s="352"/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4"/>
    </row>
    <row r="27" spans="1:13" ht="20.25" customHeight="1">
      <c r="A27" s="352"/>
      <c r="B27" s="353"/>
      <c r="C27" s="353"/>
      <c r="D27" s="353"/>
      <c r="E27" s="353"/>
      <c r="F27" s="353"/>
      <c r="G27" s="353"/>
      <c r="H27" s="353"/>
      <c r="I27" s="353"/>
      <c r="J27" s="353"/>
      <c r="K27" s="353"/>
      <c r="L27" s="353"/>
      <c r="M27" s="354"/>
    </row>
    <row r="28" spans="1:13" ht="20.25" customHeight="1">
      <c r="A28" s="352"/>
      <c r="B28" s="353"/>
      <c r="C28" s="353"/>
      <c r="D28" s="353"/>
      <c r="E28" s="353"/>
      <c r="F28" s="353"/>
      <c r="G28" s="353"/>
      <c r="H28" s="353"/>
      <c r="I28" s="353"/>
      <c r="J28" s="353"/>
      <c r="K28" s="353"/>
      <c r="L28" s="353"/>
      <c r="M28" s="354"/>
    </row>
    <row r="29" spans="1:13" ht="20.25" customHeight="1">
      <c r="A29" s="352"/>
      <c r="B29" s="353"/>
      <c r="C29" s="353"/>
      <c r="D29" s="353"/>
      <c r="E29" s="353"/>
      <c r="F29" s="353"/>
      <c r="G29" s="353"/>
      <c r="H29" s="353"/>
      <c r="I29" s="353"/>
      <c r="J29" s="353"/>
      <c r="K29" s="353"/>
      <c r="L29" s="353"/>
      <c r="M29" s="354"/>
    </row>
    <row r="30" spans="1:13" ht="20.25" customHeight="1">
      <c r="A30" s="352"/>
      <c r="B30" s="353"/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4"/>
    </row>
    <row r="31" spans="1:13" ht="20.25" customHeight="1">
      <c r="A31" s="352"/>
      <c r="B31" s="353"/>
      <c r="C31" s="353"/>
      <c r="D31" s="353"/>
      <c r="E31" s="353"/>
      <c r="F31" s="353"/>
      <c r="G31" s="353"/>
      <c r="H31" s="353"/>
      <c r="I31" s="353"/>
      <c r="J31" s="353"/>
      <c r="K31" s="353"/>
      <c r="L31" s="353"/>
      <c r="M31" s="354"/>
    </row>
    <row r="32" spans="1:13" ht="20.25" customHeight="1">
      <c r="A32" s="352"/>
      <c r="B32" s="353"/>
      <c r="C32" s="353"/>
      <c r="D32" s="353"/>
      <c r="E32" s="353"/>
      <c r="F32" s="353"/>
      <c r="G32" s="353"/>
      <c r="H32" s="353"/>
      <c r="I32" s="353"/>
      <c r="J32" s="353"/>
      <c r="K32" s="353"/>
      <c r="L32" s="353"/>
      <c r="M32" s="354"/>
    </row>
    <row r="33" spans="1:13" ht="20.25" customHeight="1">
      <c r="A33" s="352"/>
      <c r="B33" s="353"/>
      <c r="C33" s="353"/>
      <c r="D33" s="353"/>
      <c r="E33" s="353"/>
      <c r="F33" s="353"/>
      <c r="G33" s="353"/>
      <c r="H33" s="353"/>
      <c r="I33" s="353"/>
      <c r="J33" s="353"/>
      <c r="K33" s="353"/>
      <c r="L33" s="353"/>
      <c r="M33" s="354"/>
    </row>
    <row r="34" spans="1:13" ht="20.25" customHeight="1">
      <c r="A34" s="352"/>
      <c r="B34" s="353"/>
      <c r="C34" s="353"/>
      <c r="D34" s="353"/>
      <c r="E34" s="353"/>
      <c r="F34" s="353"/>
      <c r="G34" s="353"/>
      <c r="H34" s="353"/>
      <c r="I34" s="353"/>
      <c r="J34" s="353"/>
      <c r="K34" s="353"/>
      <c r="L34" s="353"/>
      <c r="M34" s="354"/>
    </row>
    <row r="35" spans="1:13" ht="20.25" customHeight="1">
      <c r="A35" s="352"/>
      <c r="B35" s="353"/>
      <c r="C35" s="353"/>
      <c r="D35" s="353"/>
      <c r="E35" s="353"/>
      <c r="F35" s="353"/>
      <c r="G35" s="353"/>
      <c r="H35" s="353"/>
      <c r="I35" s="353"/>
      <c r="J35" s="353"/>
      <c r="K35" s="353"/>
      <c r="L35" s="353"/>
      <c r="M35" s="354"/>
    </row>
    <row r="36" spans="1:13" ht="20.25" customHeight="1">
      <c r="A36" s="352"/>
      <c r="B36" s="353"/>
      <c r="C36" s="353"/>
      <c r="D36" s="353"/>
      <c r="E36" s="353"/>
      <c r="F36" s="353"/>
      <c r="G36" s="353"/>
      <c r="H36" s="353"/>
      <c r="I36" s="353"/>
      <c r="J36" s="353"/>
      <c r="K36" s="353"/>
      <c r="L36" s="353"/>
      <c r="M36" s="354"/>
    </row>
    <row r="37" spans="1:13" ht="20.25" customHeight="1">
      <c r="A37" s="352"/>
      <c r="B37" s="353"/>
      <c r="C37" s="353"/>
      <c r="D37" s="353"/>
      <c r="E37" s="353"/>
      <c r="F37" s="353"/>
      <c r="G37" s="353"/>
      <c r="H37" s="353"/>
      <c r="I37" s="353"/>
      <c r="J37" s="353"/>
      <c r="K37" s="353"/>
      <c r="L37" s="353"/>
      <c r="M37" s="354"/>
    </row>
    <row r="38" spans="1:13" ht="20.25" customHeight="1">
      <c r="A38" s="352"/>
      <c r="B38" s="353"/>
      <c r="C38" s="353"/>
      <c r="D38" s="353"/>
      <c r="E38" s="353"/>
      <c r="F38" s="353"/>
      <c r="G38" s="353"/>
      <c r="H38" s="353"/>
      <c r="I38" s="353"/>
      <c r="J38" s="353"/>
      <c r="K38" s="353"/>
      <c r="L38" s="353"/>
      <c r="M38" s="354"/>
    </row>
    <row r="39" spans="1:13" ht="20.25" customHeight="1">
      <c r="A39" s="352"/>
      <c r="B39" s="353"/>
      <c r="C39" s="353"/>
      <c r="D39" s="353"/>
      <c r="E39" s="353"/>
      <c r="F39" s="353"/>
      <c r="G39" s="353"/>
      <c r="H39" s="353"/>
      <c r="I39" s="353"/>
      <c r="J39" s="353"/>
      <c r="K39" s="353"/>
      <c r="L39" s="353"/>
      <c r="M39" s="354"/>
    </row>
    <row r="40" spans="1:13" ht="20.25" customHeight="1">
      <c r="A40" s="352"/>
      <c r="B40" s="353"/>
      <c r="C40" s="353"/>
      <c r="D40" s="353"/>
      <c r="E40" s="353"/>
      <c r="F40" s="353"/>
      <c r="G40" s="353"/>
      <c r="H40" s="353"/>
      <c r="I40" s="353"/>
      <c r="J40" s="353"/>
      <c r="K40" s="353"/>
      <c r="L40" s="353"/>
      <c r="M40" s="354"/>
    </row>
    <row r="41" spans="1:13" ht="20.25" customHeight="1">
      <c r="A41" s="352"/>
      <c r="B41" s="353"/>
      <c r="C41" s="353"/>
      <c r="D41" s="353"/>
      <c r="E41" s="353"/>
      <c r="F41" s="353"/>
      <c r="G41" s="353"/>
      <c r="H41" s="353"/>
      <c r="I41" s="353"/>
      <c r="J41" s="353"/>
      <c r="K41" s="353"/>
      <c r="L41" s="353"/>
      <c r="M41" s="354"/>
    </row>
    <row r="42" spans="1:13" ht="20.25" customHeight="1">
      <c r="A42" s="352"/>
      <c r="B42" s="353"/>
      <c r="C42" s="353"/>
      <c r="D42" s="353"/>
      <c r="E42" s="353"/>
      <c r="F42" s="353"/>
      <c r="G42" s="353"/>
      <c r="H42" s="353"/>
      <c r="I42" s="353"/>
      <c r="J42" s="353"/>
      <c r="K42" s="353"/>
      <c r="L42" s="353"/>
      <c r="M42" s="354"/>
    </row>
    <row r="43" spans="1:13" ht="20.25" customHeight="1">
      <c r="A43" s="352"/>
      <c r="B43" s="353"/>
      <c r="C43" s="353"/>
      <c r="D43" s="353"/>
      <c r="E43" s="353"/>
      <c r="F43" s="353"/>
      <c r="G43" s="353"/>
      <c r="H43" s="353"/>
      <c r="I43" s="353"/>
      <c r="J43" s="353"/>
      <c r="K43" s="353"/>
      <c r="L43" s="353"/>
      <c r="M43" s="354"/>
    </row>
    <row r="44" spans="1:13" ht="20.25" customHeight="1">
      <c r="A44" s="352"/>
      <c r="B44" s="353"/>
      <c r="C44" s="353"/>
      <c r="D44" s="353"/>
      <c r="E44" s="353"/>
      <c r="F44" s="353"/>
      <c r="G44" s="353"/>
      <c r="H44" s="353"/>
      <c r="I44" s="353"/>
      <c r="J44" s="353"/>
      <c r="K44" s="353"/>
      <c r="L44" s="353"/>
      <c r="M44" s="354"/>
    </row>
    <row r="45" spans="1:13" ht="20.25" customHeight="1">
      <c r="A45" s="352"/>
      <c r="B45" s="353"/>
      <c r="C45" s="353"/>
      <c r="D45" s="353"/>
      <c r="E45" s="353"/>
      <c r="F45" s="353"/>
      <c r="G45" s="353"/>
      <c r="H45" s="353"/>
      <c r="I45" s="353"/>
      <c r="J45" s="353"/>
      <c r="K45" s="353"/>
      <c r="L45" s="353"/>
      <c r="M45" s="354"/>
    </row>
    <row r="46" spans="1:13" ht="20.25" customHeight="1">
      <c r="A46" s="352"/>
      <c r="B46" s="353"/>
      <c r="C46" s="353"/>
      <c r="D46" s="353"/>
      <c r="E46" s="353"/>
      <c r="F46" s="353"/>
      <c r="G46" s="353"/>
      <c r="H46" s="353"/>
      <c r="I46" s="353"/>
      <c r="J46" s="353"/>
      <c r="K46" s="353"/>
      <c r="L46" s="353"/>
      <c r="M46" s="354"/>
    </row>
    <row r="47" spans="1:13" ht="20.25" customHeight="1">
      <c r="A47" s="352"/>
      <c r="B47" s="353"/>
      <c r="C47" s="353"/>
      <c r="D47" s="353"/>
      <c r="E47" s="353"/>
      <c r="F47" s="353"/>
      <c r="G47" s="353"/>
      <c r="H47" s="353"/>
      <c r="I47" s="353"/>
      <c r="J47" s="353"/>
      <c r="K47" s="353"/>
      <c r="L47" s="353"/>
      <c r="M47" s="354"/>
    </row>
    <row r="48" spans="1:13" ht="20.25" customHeight="1">
      <c r="A48" s="352"/>
      <c r="B48" s="353"/>
      <c r="C48" s="353"/>
      <c r="D48" s="353"/>
      <c r="E48" s="353"/>
      <c r="F48" s="353"/>
      <c r="G48" s="353"/>
      <c r="H48" s="353"/>
      <c r="I48" s="353"/>
      <c r="J48" s="353"/>
      <c r="K48" s="353"/>
      <c r="L48" s="353"/>
      <c r="M48" s="354"/>
    </row>
    <row r="49" spans="1:13" ht="20.25" customHeight="1">
      <c r="A49" s="352"/>
      <c r="B49" s="353"/>
      <c r="C49" s="353"/>
      <c r="D49" s="353"/>
      <c r="E49" s="353"/>
      <c r="F49" s="353"/>
      <c r="G49" s="353"/>
      <c r="H49" s="353"/>
      <c r="I49" s="353"/>
      <c r="J49" s="353"/>
      <c r="K49" s="353"/>
      <c r="L49" s="353"/>
      <c r="M49" s="354"/>
    </row>
    <row r="50" spans="1:13" ht="20.25" customHeight="1">
      <c r="A50" s="352"/>
      <c r="B50" s="353"/>
      <c r="C50" s="353"/>
      <c r="D50" s="353"/>
      <c r="E50" s="353"/>
      <c r="F50" s="353"/>
      <c r="G50" s="353"/>
      <c r="H50" s="353"/>
      <c r="I50" s="353"/>
      <c r="J50" s="353"/>
      <c r="K50" s="353"/>
      <c r="L50" s="353"/>
      <c r="M50" s="354"/>
    </row>
    <row r="51" spans="1:13" ht="20.25" customHeight="1">
      <c r="A51" s="352"/>
      <c r="B51" s="353"/>
      <c r="C51" s="353"/>
      <c r="D51" s="353"/>
      <c r="E51" s="353"/>
      <c r="F51" s="353"/>
      <c r="G51" s="353"/>
      <c r="H51" s="353"/>
      <c r="I51" s="353"/>
      <c r="J51" s="353"/>
      <c r="K51" s="353"/>
      <c r="L51" s="353"/>
      <c r="M51" s="354"/>
    </row>
    <row r="52" spans="1:13" ht="20.25" customHeight="1">
      <c r="A52" s="352"/>
      <c r="B52" s="353"/>
      <c r="C52" s="353"/>
      <c r="D52" s="353"/>
      <c r="E52" s="353"/>
      <c r="F52" s="353"/>
      <c r="G52" s="353"/>
      <c r="H52" s="353"/>
      <c r="I52" s="353"/>
      <c r="J52" s="353"/>
      <c r="K52" s="353"/>
      <c r="L52" s="353"/>
      <c r="M52" s="354"/>
    </row>
    <row r="53" spans="1:13" ht="20.25" customHeight="1">
      <c r="A53" s="352"/>
      <c r="B53" s="353"/>
      <c r="C53" s="353"/>
      <c r="D53" s="353"/>
      <c r="E53" s="353"/>
      <c r="F53" s="353"/>
      <c r="G53" s="353"/>
      <c r="H53" s="353"/>
      <c r="I53" s="353"/>
      <c r="J53" s="353"/>
      <c r="K53" s="353"/>
      <c r="L53" s="353"/>
      <c r="M53" s="354"/>
    </row>
    <row r="54" spans="1:13" ht="20.25" customHeight="1">
      <c r="A54" s="352"/>
      <c r="B54" s="353"/>
      <c r="C54" s="353"/>
      <c r="D54" s="353"/>
      <c r="E54" s="353"/>
      <c r="F54" s="353"/>
      <c r="G54" s="353"/>
      <c r="H54" s="353"/>
      <c r="I54" s="353"/>
      <c r="J54" s="353"/>
      <c r="K54" s="353"/>
      <c r="L54" s="353"/>
      <c r="M54" s="354"/>
    </row>
    <row r="55" spans="1:13" ht="20.25" customHeight="1">
      <c r="A55" s="352"/>
      <c r="B55" s="353"/>
      <c r="C55" s="353"/>
      <c r="D55" s="353"/>
      <c r="E55" s="353"/>
      <c r="F55" s="353"/>
      <c r="G55" s="353"/>
      <c r="H55" s="353"/>
      <c r="I55" s="353"/>
      <c r="J55" s="353"/>
      <c r="K55" s="353"/>
      <c r="L55" s="353"/>
      <c r="M55" s="354"/>
    </row>
    <row r="56" spans="1:13" ht="20.25" customHeight="1">
      <c r="A56" s="352"/>
      <c r="B56" s="353"/>
      <c r="C56" s="353"/>
      <c r="D56" s="353"/>
      <c r="E56" s="353"/>
      <c r="F56" s="353"/>
      <c r="G56" s="353"/>
      <c r="H56" s="353"/>
      <c r="I56" s="353"/>
      <c r="J56" s="353"/>
      <c r="K56" s="353"/>
      <c r="L56" s="353"/>
      <c r="M56" s="354"/>
    </row>
    <row r="57" spans="1:13" ht="20.25" customHeight="1">
      <c r="A57" s="352"/>
      <c r="B57" s="353"/>
      <c r="C57" s="353"/>
      <c r="D57" s="353"/>
      <c r="E57" s="353"/>
      <c r="F57" s="353"/>
      <c r="G57" s="353"/>
      <c r="H57" s="353"/>
      <c r="I57" s="353"/>
      <c r="J57" s="353"/>
      <c r="K57" s="353"/>
      <c r="L57" s="353"/>
      <c r="M57" s="354"/>
    </row>
    <row r="58" spans="1:13" ht="20.25" customHeight="1">
      <c r="A58" s="352"/>
      <c r="B58" s="353"/>
      <c r="C58" s="353"/>
      <c r="D58" s="353"/>
      <c r="E58" s="353"/>
      <c r="F58" s="353"/>
      <c r="G58" s="353"/>
      <c r="H58" s="353"/>
      <c r="I58" s="353"/>
      <c r="J58" s="353"/>
      <c r="K58" s="353"/>
      <c r="L58" s="353"/>
      <c r="M58" s="354"/>
    </row>
    <row r="59" spans="1:13" ht="20.25" customHeight="1">
      <c r="A59" s="352"/>
      <c r="B59" s="353"/>
      <c r="C59" s="353"/>
      <c r="D59" s="353"/>
      <c r="E59" s="353"/>
      <c r="F59" s="353"/>
      <c r="G59" s="353"/>
      <c r="H59" s="353"/>
      <c r="I59" s="353"/>
      <c r="J59" s="353"/>
      <c r="K59" s="353"/>
      <c r="L59" s="353"/>
      <c r="M59" s="354"/>
    </row>
    <row r="60" spans="1:13" ht="20.25" customHeight="1">
      <c r="A60" s="352"/>
      <c r="B60" s="353"/>
      <c r="C60" s="353"/>
      <c r="D60" s="353"/>
      <c r="E60" s="353"/>
      <c r="F60" s="353"/>
      <c r="G60" s="353"/>
      <c r="H60" s="353"/>
      <c r="I60" s="353"/>
      <c r="J60" s="353"/>
      <c r="K60" s="353"/>
      <c r="L60" s="353"/>
      <c r="M60" s="354"/>
    </row>
    <row r="61" spans="1:13" ht="20.25" customHeight="1">
      <c r="A61" s="352"/>
      <c r="B61" s="353"/>
      <c r="C61" s="353"/>
      <c r="D61" s="353"/>
      <c r="E61" s="353"/>
      <c r="F61" s="353"/>
      <c r="G61" s="353"/>
      <c r="H61" s="353"/>
      <c r="I61" s="353"/>
      <c r="J61" s="353"/>
      <c r="K61" s="353"/>
      <c r="L61" s="353"/>
      <c r="M61" s="354"/>
    </row>
    <row r="62" spans="1:13" ht="20.25" customHeight="1">
      <c r="A62" s="352"/>
      <c r="B62" s="353"/>
      <c r="C62" s="353"/>
      <c r="D62" s="353"/>
      <c r="E62" s="353"/>
      <c r="F62" s="353"/>
      <c r="G62" s="353"/>
      <c r="H62" s="353"/>
      <c r="I62" s="353"/>
      <c r="J62" s="353"/>
      <c r="K62" s="353"/>
      <c r="L62" s="353"/>
      <c r="M62" s="354"/>
    </row>
    <row r="63" spans="1:13" ht="20.25" customHeight="1">
      <c r="A63" s="352"/>
      <c r="B63" s="353"/>
      <c r="C63" s="353"/>
      <c r="D63" s="353"/>
      <c r="E63" s="353"/>
      <c r="F63" s="353"/>
      <c r="G63" s="353"/>
      <c r="H63" s="353"/>
      <c r="I63" s="353"/>
      <c r="J63" s="353"/>
      <c r="K63" s="353"/>
      <c r="L63" s="353"/>
      <c r="M63" s="354"/>
    </row>
    <row r="64" spans="1:13" ht="20.25" customHeight="1">
      <c r="A64" s="352"/>
      <c r="B64" s="353"/>
      <c r="C64" s="353"/>
      <c r="D64" s="353"/>
      <c r="E64" s="353"/>
      <c r="F64" s="353"/>
      <c r="G64" s="353"/>
      <c r="H64" s="353"/>
      <c r="I64" s="353"/>
      <c r="J64" s="353"/>
      <c r="K64" s="353"/>
      <c r="L64" s="353"/>
      <c r="M64" s="354"/>
    </row>
    <row r="65" spans="1:13" ht="20.25" customHeight="1">
      <c r="A65" s="352"/>
      <c r="B65" s="353"/>
      <c r="C65" s="353"/>
      <c r="D65" s="353"/>
      <c r="E65" s="353"/>
      <c r="F65" s="353"/>
      <c r="G65" s="353"/>
      <c r="H65" s="353"/>
      <c r="I65" s="353"/>
      <c r="J65" s="353"/>
      <c r="K65" s="353"/>
      <c r="L65" s="353"/>
      <c r="M65" s="354"/>
    </row>
    <row r="66" spans="1:13" ht="20.25" customHeight="1">
      <c r="A66" s="352"/>
      <c r="B66" s="353"/>
      <c r="C66" s="353"/>
      <c r="D66" s="353"/>
      <c r="E66" s="353"/>
      <c r="F66" s="353"/>
      <c r="G66" s="353"/>
      <c r="H66" s="353"/>
      <c r="I66" s="353"/>
      <c r="J66" s="353"/>
      <c r="K66" s="353"/>
      <c r="L66" s="353"/>
      <c r="M66" s="354"/>
    </row>
    <row r="67" spans="1:13" ht="20.25" customHeight="1">
      <c r="A67" s="352"/>
      <c r="B67" s="353"/>
      <c r="C67" s="353"/>
      <c r="D67" s="353"/>
      <c r="E67" s="353"/>
      <c r="F67" s="353"/>
      <c r="G67" s="353"/>
      <c r="H67" s="353"/>
      <c r="I67" s="353"/>
      <c r="J67" s="353"/>
      <c r="K67" s="353"/>
      <c r="L67" s="353"/>
      <c r="M67" s="354"/>
    </row>
    <row r="68" spans="1:13" ht="20.25" customHeight="1">
      <c r="A68" s="352"/>
      <c r="B68" s="353"/>
      <c r="C68" s="353"/>
      <c r="D68" s="353"/>
      <c r="E68" s="353"/>
      <c r="F68" s="353"/>
      <c r="G68" s="353"/>
      <c r="H68" s="353"/>
      <c r="I68" s="353"/>
      <c r="J68" s="353"/>
      <c r="K68" s="353"/>
      <c r="L68" s="353"/>
      <c r="M68" s="354"/>
    </row>
    <row r="69" spans="1:13" ht="20.25" customHeight="1">
      <c r="A69" s="352"/>
      <c r="B69" s="353"/>
      <c r="C69" s="353"/>
      <c r="D69" s="353"/>
      <c r="E69" s="353"/>
      <c r="F69" s="353"/>
      <c r="G69" s="353"/>
      <c r="H69" s="353"/>
      <c r="I69" s="353"/>
      <c r="J69" s="353"/>
      <c r="K69" s="353"/>
      <c r="L69" s="353"/>
      <c r="M69" s="354"/>
    </row>
    <row r="70" spans="1:13" ht="20.25" customHeight="1">
      <c r="A70" s="352"/>
      <c r="B70" s="353"/>
      <c r="C70" s="353"/>
      <c r="D70" s="353"/>
      <c r="E70" s="353"/>
      <c r="F70" s="353"/>
      <c r="G70" s="353"/>
      <c r="H70" s="353"/>
      <c r="I70" s="353"/>
      <c r="J70" s="353"/>
      <c r="K70" s="353"/>
      <c r="L70" s="353"/>
      <c r="M70" s="354"/>
    </row>
    <row r="71" spans="1:13" ht="20.25" customHeight="1">
      <c r="A71" s="352"/>
      <c r="B71" s="353"/>
      <c r="C71" s="353"/>
      <c r="D71" s="353"/>
      <c r="E71" s="353"/>
      <c r="F71" s="353"/>
      <c r="G71" s="353"/>
      <c r="H71" s="353"/>
      <c r="I71" s="353"/>
      <c r="J71" s="353"/>
      <c r="K71" s="353"/>
      <c r="L71" s="353"/>
      <c r="M71" s="354"/>
    </row>
    <row r="72" spans="1:13" ht="20.25" customHeight="1">
      <c r="A72" s="352"/>
      <c r="B72" s="353"/>
      <c r="C72" s="353"/>
      <c r="D72" s="353"/>
      <c r="E72" s="353"/>
      <c r="F72" s="353"/>
      <c r="G72" s="353"/>
      <c r="H72" s="353"/>
      <c r="I72" s="353"/>
      <c r="J72" s="353"/>
      <c r="K72" s="353"/>
      <c r="L72" s="353"/>
      <c r="M72" s="354"/>
    </row>
    <row r="73" spans="1:13" ht="20.25" customHeight="1">
      <c r="A73" s="352"/>
      <c r="B73" s="353"/>
      <c r="C73" s="353"/>
      <c r="D73" s="353"/>
      <c r="E73" s="353"/>
      <c r="F73" s="353"/>
      <c r="G73" s="353"/>
      <c r="H73" s="353"/>
      <c r="I73" s="353"/>
      <c r="J73" s="353"/>
      <c r="K73" s="353"/>
      <c r="L73" s="353"/>
      <c r="M73" s="354"/>
    </row>
    <row r="74" spans="1:13" ht="20.25" customHeight="1">
      <c r="A74" s="352"/>
      <c r="B74" s="353"/>
      <c r="C74" s="353"/>
      <c r="D74" s="353"/>
      <c r="E74" s="353"/>
      <c r="F74" s="353"/>
      <c r="G74" s="353"/>
      <c r="H74" s="353"/>
      <c r="I74" s="353"/>
      <c r="J74" s="353"/>
      <c r="K74" s="353"/>
      <c r="L74" s="353"/>
      <c r="M74" s="354"/>
    </row>
    <row r="75" spans="1:13" ht="20.25" customHeight="1">
      <c r="A75" s="352"/>
      <c r="B75" s="353"/>
      <c r="C75" s="353"/>
      <c r="D75" s="353"/>
      <c r="E75" s="353"/>
      <c r="F75" s="353"/>
      <c r="G75" s="353"/>
      <c r="H75" s="353"/>
      <c r="I75" s="353"/>
      <c r="J75" s="353"/>
      <c r="K75" s="353"/>
      <c r="L75" s="353"/>
      <c r="M75" s="354"/>
    </row>
    <row r="76" spans="1:13" ht="20.25" customHeight="1">
      <c r="A76" s="352"/>
      <c r="B76" s="353"/>
      <c r="C76" s="353"/>
      <c r="D76" s="353"/>
      <c r="E76" s="353"/>
      <c r="F76" s="353"/>
      <c r="G76" s="353"/>
      <c r="H76" s="353"/>
      <c r="I76" s="353"/>
      <c r="J76" s="353"/>
      <c r="K76" s="353"/>
      <c r="L76" s="353"/>
      <c r="M76" s="354"/>
    </row>
    <row r="77" spans="1:13" ht="20.25" customHeight="1">
      <c r="A77" s="352"/>
      <c r="B77" s="353"/>
      <c r="C77" s="353"/>
      <c r="D77" s="353"/>
      <c r="E77" s="353"/>
      <c r="F77" s="353"/>
      <c r="G77" s="353"/>
      <c r="H77" s="353"/>
      <c r="I77" s="353"/>
      <c r="J77" s="353"/>
      <c r="K77" s="353"/>
      <c r="L77" s="353"/>
      <c r="M77" s="354"/>
    </row>
    <row r="78" spans="1:13" ht="20.25" customHeight="1">
      <c r="A78" s="352"/>
      <c r="B78" s="353"/>
      <c r="C78" s="353"/>
      <c r="D78" s="353"/>
      <c r="E78" s="353"/>
      <c r="F78" s="353"/>
      <c r="G78" s="353"/>
      <c r="H78" s="353"/>
      <c r="I78" s="353"/>
      <c r="J78" s="353"/>
      <c r="K78" s="353"/>
      <c r="L78" s="353"/>
      <c r="M78" s="354"/>
    </row>
    <row r="79" spans="1:13" ht="20.25" customHeight="1">
      <c r="A79" s="352"/>
      <c r="B79" s="353"/>
      <c r="C79" s="353"/>
      <c r="D79" s="353"/>
      <c r="E79" s="353"/>
      <c r="F79" s="353"/>
      <c r="G79" s="353"/>
      <c r="H79" s="353"/>
      <c r="I79" s="353"/>
      <c r="J79" s="353"/>
      <c r="K79" s="353"/>
      <c r="L79" s="353"/>
      <c r="M79" s="354"/>
    </row>
    <row r="80" spans="1:13" ht="20.25" customHeight="1">
      <c r="A80" s="352"/>
      <c r="B80" s="353"/>
      <c r="C80" s="353"/>
      <c r="D80" s="353"/>
      <c r="E80" s="353"/>
      <c r="F80" s="353"/>
      <c r="G80" s="353"/>
      <c r="H80" s="353"/>
      <c r="I80" s="353"/>
      <c r="J80" s="353"/>
      <c r="K80" s="353"/>
      <c r="L80" s="353"/>
      <c r="M80" s="354"/>
    </row>
    <row r="81" spans="1:13" ht="20.25" customHeight="1">
      <c r="A81" s="352"/>
      <c r="B81" s="353"/>
      <c r="C81" s="353"/>
      <c r="D81" s="353"/>
      <c r="E81" s="353"/>
      <c r="F81" s="353"/>
      <c r="G81" s="353"/>
      <c r="H81" s="353"/>
      <c r="I81" s="353"/>
      <c r="J81" s="353"/>
      <c r="K81" s="353"/>
      <c r="L81" s="353"/>
      <c r="M81" s="354"/>
    </row>
    <row r="82" spans="1:13" ht="20.25" customHeight="1">
      <c r="A82" s="352"/>
      <c r="B82" s="353"/>
      <c r="C82" s="353"/>
      <c r="D82" s="353"/>
      <c r="E82" s="353"/>
      <c r="F82" s="353"/>
      <c r="G82" s="353"/>
      <c r="H82" s="353"/>
      <c r="I82" s="353"/>
      <c r="J82" s="353"/>
      <c r="K82" s="353"/>
      <c r="L82" s="353"/>
      <c r="M82" s="354"/>
    </row>
    <row r="83" spans="1:13" ht="20.25" customHeight="1">
      <c r="A83" s="352"/>
      <c r="B83" s="353"/>
      <c r="C83" s="353"/>
      <c r="D83" s="353"/>
      <c r="E83" s="353"/>
      <c r="F83" s="353"/>
      <c r="G83" s="353"/>
      <c r="H83" s="353"/>
      <c r="I83" s="353"/>
      <c r="J83" s="353"/>
      <c r="K83" s="353"/>
      <c r="L83" s="353"/>
      <c r="M83" s="354"/>
    </row>
    <row r="84" spans="1:13" ht="20.25" customHeight="1">
      <c r="A84" s="352"/>
      <c r="B84" s="353"/>
      <c r="C84" s="353"/>
      <c r="D84" s="353"/>
      <c r="E84" s="353"/>
      <c r="F84" s="353"/>
      <c r="G84" s="353"/>
      <c r="H84" s="353"/>
      <c r="I84" s="353"/>
      <c r="J84" s="353"/>
      <c r="K84" s="353"/>
      <c r="L84" s="353"/>
      <c r="M84" s="354"/>
    </row>
    <row r="85" spans="1:13" ht="20.25" customHeight="1">
      <c r="A85" s="352"/>
      <c r="B85" s="353"/>
      <c r="C85" s="353"/>
      <c r="D85" s="353"/>
      <c r="E85" s="353"/>
      <c r="F85" s="353"/>
      <c r="G85" s="353"/>
      <c r="H85" s="353"/>
      <c r="I85" s="353"/>
      <c r="J85" s="353"/>
      <c r="K85" s="353"/>
      <c r="L85" s="353"/>
      <c r="M85" s="354"/>
    </row>
    <row r="86" spans="1:13" ht="20.25" customHeight="1">
      <c r="A86" s="352"/>
      <c r="B86" s="353"/>
      <c r="C86" s="353"/>
      <c r="D86" s="353"/>
      <c r="E86" s="353"/>
      <c r="F86" s="353"/>
      <c r="G86" s="353"/>
      <c r="H86" s="353"/>
      <c r="I86" s="353"/>
      <c r="J86" s="353"/>
      <c r="K86" s="353"/>
      <c r="L86" s="353"/>
      <c r="M86" s="354"/>
    </row>
    <row r="87" spans="1:13" ht="20.25" customHeight="1">
      <c r="A87" s="352"/>
      <c r="B87" s="353"/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4"/>
    </row>
    <row r="88" spans="1:13" ht="20.25" customHeight="1">
      <c r="A88" s="352"/>
      <c r="B88" s="353"/>
      <c r="C88" s="353"/>
      <c r="D88" s="353"/>
      <c r="E88" s="353"/>
      <c r="F88" s="353"/>
      <c r="G88" s="353"/>
      <c r="H88" s="353"/>
      <c r="I88" s="353"/>
      <c r="J88" s="353"/>
      <c r="K88" s="353"/>
      <c r="L88" s="353"/>
      <c r="M88" s="354"/>
    </row>
    <row r="89" spans="1:13" ht="20.25" customHeight="1">
      <c r="A89" s="352"/>
      <c r="B89" s="353"/>
      <c r="C89" s="353"/>
      <c r="D89" s="353"/>
      <c r="E89" s="353"/>
      <c r="F89" s="353"/>
      <c r="G89" s="353"/>
      <c r="H89" s="353"/>
      <c r="I89" s="353"/>
      <c r="J89" s="353"/>
      <c r="K89" s="353"/>
      <c r="L89" s="353"/>
      <c r="M89" s="354"/>
    </row>
    <row r="90" spans="1:13" ht="20.25" customHeight="1">
      <c r="A90" s="352"/>
      <c r="B90" s="353"/>
      <c r="C90" s="353"/>
      <c r="D90" s="353"/>
      <c r="E90" s="353"/>
      <c r="F90" s="353"/>
      <c r="G90" s="353"/>
      <c r="H90" s="353"/>
      <c r="I90" s="353"/>
      <c r="J90" s="353"/>
      <c r="K90" s="353"/>
      <c r="L90" s="353"/>
      <c r="M90" s="354"/>
    </row>
    <row r="91" spans="1:13" ht="20.25" customHeight="1">
      <c r="A91" s="352"/>
      <c r="B91" s="353"/>
      <c r="C91" s="353"/>
      <c r="D91" s="353"/>
      <c r="E91" s="353"/>
      <c r="F91" s="353"/>
      <c r="G91" s="353"/>
      <c r="H91" s="353"/>
      <c r="I91" s="353"/>
      <c r="J91" s="353"/>
      <c r="K91" s="353"/>
      <c r="L91" s="353"/>
      <c r="M91" s="354"/>
    </row>
    <row r="92" spans="1:13" ht="20.25" customHeight="1">
      <c r="A92" s="352"/>
      <c r="B92" s="353"/>
      <c r="C92" s="353"/>
      <c r="D92" s="353"/>
      <c r="E92" s="353"/>
      <c r="F92" s="353"/>
      <c r="G92" s="353"/>
      <c r="H92" s="353"/>
      <c r="I92" s="353"/>
      <c r="J92" s="353"/>
      <c r="K92" s="353"/>
      <c r="L92" s="353"/>
      <c r="M92" s="354"/>
    </row>
    <row r="93" spans="1:13" ht="20.25" customHeight="1">
      <c r="A93" s="352"/>
      <c r="B93" s="353"/>
      <c r="C93" s="353"/>
      <c r="D93" s="353"/>
      <c r="E93" s="353"/>
      <c r="F93" s="353"/>
      <c r="G93" s="353"/>
      <c r="H93" s="353"/>
      <c r="I93" s="353"/>
      <c r="J93" s="353"/>
      <c r="K93" s="353"/>
      <c r="L93" s="353"/>
      <c r="M93" s="354"/>
    </row>
    <row r="94" spans="1:13" ht="20.25" customHeight="1">
      <c r="A94" s="352"/>
      <c r="B94" s="353"/>
      <c r="C94" s="353"/>
      <c r="D94" s="353"/>
      <c r="E94" s="353"/>
      <c r="F94" s="353"/>
      <c r="G94" s="353"/>
      <c r="H94" s="353"/>
      <c r="I94" s="353"/>
      <c r="J94" s="353"/>
      <c r="K94" s="353"/>
      <c r="L94" s="353"/>
      <c r="M94" s="354"/>
    </row>
    <row r="95" spans="1:13" ht="20.25" customHeight="1">
      <c r="A95" s="352"/>
      <c r="B95" s="353"/>
      <c r="C95" s="353"/>
      <c r="D95" s="353"/>
      <c r="E95" s="353"/>
      <c r="F95" s="353"/>
      <c r="G95" s="353"/>
      <c r="H95" s="353"/>
      <c r="I95" s="353"/>
      <c r="J95" s="353"/>
      <c r="K95" s="353"/>
      <c r="L95" s="353"/>
      <c r="M95" s="354"/>
    </row>
    <row r="96" spans="1:13" ht="20.25" customHeight="1">
      <c r="A96" s="352"/>
      <c r="B96" s="353"/>
      <c r="C96" s="353"/>
      <c r="D96" s="353"/>
      <c r="E96" s="353"/>
      <c r="F96" s="353"/>
      <c r="G96" s="353"/>
      <c r="H96" s="353"/>
      <c r="I96" s="353"/>
      <c r="J96" s="353"/>
      <c r="K96" s="353"/>
      <c r="L96" s="353"/>
      <c r="M96" s="354"/>
    </row>
    <row r="97" spans="1:13" ht="20.25" customHeight="1">
      <c r="A97" s="352"/>
      <c r="B97" s="353"/>
      <c r="C97" s="353"/>
      <c r="D97" s="353"/>
      <c r="E97" s="353"/>
      <c r="F97" s="353"/>
      <c r="G97" s="353"/>
      <c r="H97" s="353"/>
      <c r="I97" s="353"/>
      <c r="J97" s="353"/>
      <c r="K97" s="353"/>
      <c r="L97" s="353"/>
      <c r="M97" s="354"/>
    </row>
    <row r="98" spans="1:13" ht="20.25" customHeight="1">
      <c r="A98" s="352"/>
      <c r="B98" s="353"/>
      <c r="C98" s="353"/>
      <c r="D98" s="353"/>
      <c r="E98" s="353"/>
      <c r="F98" s="353"/>
      <c r="G98" s="353"/>
      <c r="H98" s="353"/>
      <c r="I98" s="353"/>
      <c r="J98" s="353"/>
      <c r="K98" s="353"/>
      <c r="L98" s="353"/>
      <c r="M98" s="354"/>
    </row>
    <row r="99" spans="1:13" ht="20.25" customHeight="1">
      <c r="A99" s="352"/>
      <c r="B99" s="353"/>
      <c r="C99" s="353"/>
      <c r="D99" s="353"/>
      <c r="E99" s="353"/>
      <c r="F99" s="353"/>
      <c r="G99" s="353"/>
      <c r="H99" s="353"/>
      <c r="I99" s="353"/>
      <c r="J99" s="353"/>
      <c r="K99" s="353"/>
      <c r="L99" s="353"/>
      <c r="M99" s="354"/>
    </row>
    <row r="100" spans="1:13" ht="20.25" customHeight="1">
      <c r="A100" s="352"/>
      <c r="B100" s="353"/>
      <c r="C100" s="353"/>
      <c r="D100" s="353"/>
      <c r="E100" s="353"/>
      <c r="F100" s="353"/>
      <c r="G100" s="353"/>
      <c r="H100" s="353"/>
      <c r="I100" s="353"/>
      <c r="J100" s="353"/>
      <c r="K100" s="353"/>
      <c r="L100" s="353"/>
      <c r="M100" s="354"/>
    </row>
    <row r="101" spans="1:13" ht="20.25" customHeight="1">
      <c r="A101" s="352"/>
      <c r="B101" s="353"/>
      <c r="C101" s="353"/>
      <c r="D101" s="353"/>
      <c r="E101" s="353"/>
      <c r="F101" s="353"/>
      <c r="G101" s="353"/>
      <c r="H101" s="353"/>
      <c r="I101" s="353"/>
      <c r="J101" s="353"/>
      <c r="K101" s="353"/>
      <c r="L101" s="353"/>
      <c r="M101" s="354"/>
    </row>
    <row r="102" spans="1:13" ht="20.25" customHeight="1">
      <c r="A102" s="352"/>
      <c r="B102" s="353"/>
      <c r="C102" s="353"/>
      <c r="D102" s="353"/>
      <c r="E102" s="353"/>
      <c r="F102" s="353"/>
      <c r="G102" s="353"/>
      <c r="H102" s="353"/>
      <c r="I102" s="353"/>
      <c r="J102" s="353"/>
      <c r="K102" s="353"/>
      <c r="L102" s="353"/>
      <c r="M102" s="354"/>
    </row>
    <row r="103" spans="1:13" ht="20.25" customHeight="1">
      <c r="A103" s="352"/>
      <c r="B103" s="353"/>
      <c r="C103" s="353"/>
      <c r="D103" s="353"/>
      <c r="E103" s="353"/>
      <c r="F103" s="353"/>
      <c r="G103" s="353"/>
      <c r="H103" s="353"/>
      <c r="I103" s="353"/>
      <c r="J103" s="353"/>
      <c r="K103" s="353"/>
      <c r="L103" s="353"/>
      <c r="M103" s="354"/>
    </row>
    <row r="104" spans="1:13" ht="20.25" customHeight="1">
      <c r="A104" s="352"/>
      <c r="B104" s="353"/>
      <c r="C104" s="353"/>
      <c r="D104" s="353"/>
      <c r="E104" s="353"/>
      <c r="F104" s="353"/>
      <c r="G104" s="353"/>
      <c r="H104" s="353"/>
      <c r="I104" s="353"/>
      <c r="J104" s="353"/>
      <c r="K104" s="353"/>
      <c r="L104" s="353"/>
      <c r="M104" s="354"/>
    </row>
    <row r="105" spans="1:13" ht="20.25" customHeight="1" thickBot="1">
      <c r="A105" s="355"/>
      <c r="B105" s="356"/>
      <c r="C105" s="356"/>
      <c r="D105" s="356"/>
      <c r="E105" s="356"/>
      <c r="F105" s="356"/>
      <c r="G105" s="356"/>
      <c r="H105" s="356"/>
      <c r="I105" s="356"/>
      <c r="J105" s="356"/>
      <c r="K105" s="356"/>
      <c r="L105" s="356"/>
      <c r="M105" s="357"/>
    </row>
  </sheetData>
  <mergeCells count="27">
    <mergeCell ref="D3:E3"/>
    <mergeCell ref="F3:H3"/>
    <mergeCell ref="I3:J3"/>
    <mergeCell ref="K3:M3"/>
    <mergeCell ref="A1:M1"/>
    <mergeCell ref="D2:E2"/>
    <mergeCell ref="F2:H2"/>
    <mergeCell ref="I2:J2"/>
    <mergeCell ref="K2:M2"/>
    <mergeCell ref="D4:E4"/>
    <mergeCell ref="F4:H4"/>
    <mergeCell ref="I4:J4"/>
    <mergeCell ref="K4:M4"/>
    <mergeCell ref="D5:E5"/>
    <mergeCell ref="F5:H5"/>
    <mergeCell ref="I5:J5"/>
    <mergeCell ref="K5:M5"/>
    <mergeCell ref="A8:M8"/>
    <mergeCell ref="A9:M9"/>
    <mergeCell ref="D6:E6"/>
    <mergeCell ref="F6:H6"/>
    <mergeCell ref="I6:J6"/>
    <mergeCell ref="K6:M6"/>
    <mergeCell ref="D7:E7"/>
    <mergeCell ref="F7:H7"/>
    <mergeCell ref="I7:J7"/>
    <mergeCell ref="K7:M7"/>
  </mergeCells>
  <printOptions horizontalCentered="1"/>
  <pageMargins left="0.25" right="0.25" top="0.75" bottom="0.75" header="0.3" footer="0.3"/>
  <pageSetup scale="48" fitToHeight="2" orientation="landscape" horizontalDpi="300" verticalDpi="300" r:id="rId1"/>
  <headerFooter>
    <oddFooter>&amp;L&amp;F&amp;C&amp;A&amp;R&amp;D&amp;T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73F6D-98D3-4314-9027-ED31F09D43D5}">
  <sheetPr>
    <tabColor theme="4" tint="0.59999389629810485"/>
  </sheetPr>
  <dimension ref="A1:S31"/>
  <sheetViews>
    <sheetView view="pageBreakPreview" topLeftCell="D53" zoomScale="60" zoomScaleNormal="65" zoomScalePageLayoutView="90" workbookViewId="0">
      <selection activeCell="R73" sqref="R73"/>
    </sheetView>
  </sheetViews>
  <sheetFormatPr defaultColWidth="12.1796875" defaultRowHeight="15.5"/>
  <cols>
    <col min="1" max="1" width="4" style="320" customWidth="1"/>
    <col min="2" max="2" width="42.7265625" style="320" customWidth="1"/>
    <col min="3" max="3" width="36.54296875" style="320" customWidth="1"/>
    <col min="4" max="4" width="61" style="320" customWidth="1"/>
    <col min="5" max="5" width="29.453125" style="320" hidden="1" customWidth="1"/>
    <col min="6" max="6" width="7.26953125" style="320" customWidth="1"/>
    <col min="7" max="19" width="12.1796875" style="320"/>
    <col min="20" max="20" width="0.7265625" style="320" customWidth="1"/>
    <col min="21" max="16384" width="12.1796875" style="320"/>
  </cols>
  <sheetData>
    <row r="1" spans="1:19" ht="16" thickBot="1">
      <c r="A1" s="551"/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</row>
    <row r="2" spans="1:19" s="322" customFormat="1" ht="18.5">
      <c r="A2" s="609"/>
      <c r="B2" s="609"/>
      <c r="C2" s="609"/>
      <c r="D2" s="609"/>
      <c r="E2" s="609"/>
      <c r="F2" s="358"/>
      <c r="G2" s="359"/>
      <c r="H2" s="580" t="str">
        <f>'[20]M-COVER PAGE'!D2</f>
        <v>Factory</v>
      </c>
      <c r="I2" s="581"/>
      <c r="J2" s="582">
        <f>'[20]M-COVER PAGE'!F2</f>
        <v>0</v>
      </c>
      <c r="K2" s="583"/>
      <c r="L2" s="584"/>
      <c r="M2" s="585" t="str">
        <f>'[20]M-COVER PAGE'!I2</f>
        <v>Sample size</v>
      </c>
      <c r="N2" s="581"/>
      <c r="O2" s="610" t="str">
        <f>'[20]M-COVER PAGE'!K2</f>
        <v>S/M</v>
      </c>
      <c r="P2" s="610"/>
      <c r="Q2" s="611"/>
      <c r="R2" s="612" t="s">
        <v>179</v>
      </c>
      <c r="S2" s="613"/>
    </row>
    <row r="3" spans="1:19" s="322" customFormat="1" ht="18.5">
      <c r="A3" s="609"/>
      <c r="B3" s="609"/>
      <c r="C3" s="609"/>
      <c r="D3" s="609"/>
      <c r="E3" s="609"/>
      <c r="F3" s="358"/>
      <c r="G3" s="359"/>
      <c r="H3" s="553" t="str">
        <f>'[20]M-COVER PAGE'!D3</f>
        <v>Style</v>
      </c>
      <c r="I3" s="554"/>
      <c r="J3" s="577" t="str">
        <f>'[20]M-COVER PAGE'!F3</f>
        <v>MSCHF</v>
      </c>
      <c r="K3" s="578"/>
      <c r="L3" s="579"/>
      <c r="M3" s="558" t="str">
        <f>'[20]M-COVER PAGE'!I3</f>
        <v xml:space="preserve">Size range </v>
      </c>
      <c r="N3" s="554"/>
      <c r="O3" s="605" t="str">
        <f>'[20]M-COVER PAGE'!K3</f>
        <v>S/M, L/XL</v>
      </c>
      <c r="P3" s="605"/>
      <c r="Q3" s="606"/>
      <c r="R3" s="614"/>
      <c r="S3" s="615"/>
    </row>
    <row r="4" spans="1:19" s="322" customFormat="1" ht="18.5">
      <c r="A4" s="609"/>
      <c r="B4" s="609"/>
      <c r="C4" s="609"/>
      <c r="D4" s="609"/>
      <c r="E4" s="609"/>
      <c r="F4" s="358"/>
      <c r="G4" s="359"/>
      <c r="H4" s="553" t="str">
        <f>'[20]M-COVER PAGE'!D4</f>
        <v xml:space="preserve"> Description</v>
      </c>
      <c r="I4" s="554"/>
      <c r="J4" s="571" t="str">
        <f>'[20]M-COVER PAGE'!F4</f>
        <v>CINCHED TOP</v>
      </c>
      <c r="K4" s="572"/>
      <c r="L4" s="573"/>
      <c r="M4" s="558">
        <f>'[20]M-COVER PAGE'!I4</f>
        <v>0</v>
      </c>
      <c r="N4" s="554"/>
      <c r="O4" s="605">
        <f>'[20]M-COVER PAGE'!K4</f>
        <v>0</v>
      </c>
      <c r="P4" s="605"/>
      <c r="Q4" s="606"/>
      <c r="R4" s="616"/>
      <c r="S4" s="617"/>
    </row>
    <row r="5" spans="1:19" s="322" customFormat="1" ht="18.5">
      <c r="A5" s="609"/>
      <c r="B5" s="609"/>
      <c r="C5" s="609"/>
      <c r="D5" s="609"/>
      <c r="E5" s="609"/>
      <c r="F5" s="358"/>
      <c r="G5" s="360"/>
      <c r="H5" s="575" t="str">
        <f>'[20]M-COVER PAGE'!D5</f>
        <v>Season</v>
      </c>
      <c r="I5" s="576"/>
      <c r="J5" s="571" t="str">
        <f>'[20]M-COVER PAGE'!F5</f>
        <v>BIG TECH RUNNER</v>
      </c>
      <c r="K5" s="572"/>
      <c r="L5" s="573"/>
      <c r="M5" s="558" t="str">
        <f>'[20]M-COVER PAGE'!I5</f>
        <v>Sample due date</v>
      </c>
      <c r="N5" s="554"/>
      <c r="O5" s="605">
        <f>'[20]M-COVER PAGE'!K5</f>
        <v>0</v>
      </c>
      <c r="P5" s="605"/>
      <c r="Q5" s="606"/>
      <c r="R5" s="616"/>
      <c r="S5" s="617"/>
    </row>
    <row r="6" spans="1:19" s="322" customFormat="1" ht="18.5">
      <c r="A6" s="609"/>
      <c r="B6" s="609"/>
      <c r="C6" s="609"/>
      <c r="D6" s="609"/>
      <c r="E6" s="609"/>
      <c r="F6" s="358"/>
      <c r="G6" s="359"/>
      <c r="H6" s="553" t="str">
        <f>'[20]M-COVER PAGE'!D6</f>
        <v>Date created</v>
      </c>
      <c r="I6" s="554"/>
      <c r="J6" s="555">
        <f>'[20]M-COVER PAGE'!F6</f>
        <v>45367</v>
      </c>
      <c r="K6" s="556"/>
      <c r="L6" s="557"/>
      <c r="M6" s="558" t="str">
        <f>'[20]M-COVER PAGE'!I6</f>
        <v>Reference style</v>
      </c>
      <c r="N6" s="554"/>
      <c r="O6" s="607">
        <f>'[20]M-COVER PAGE'!K6</f>
        <v>0</v>
      </c>
      <c r="P6" s="607"/>
      <c r="Q6" s="608"/>
      <c r="R6" s="618"/>
      <c r="S6" s="619"/>
    </row>
    <row r="7" spans="1:19" s="322" customFormat="1" ht="19" thickBot="1">
      <c r="A7" s="609"/>
      <c r="B7" s="609"/>
      <c r="C7" s="609"/>
      <c r="D7" s="609"/>
      <c r="E7" s="609"/>
      <c r="F7" s="358"/>
      <c r="G7" s="359"/>
      <c r="H7" s="562" t="str">
        <f>'[20]M-COVER PAGE'!D7</f>
        <v>Date revised</v>
      </c>
      <c r="I7" s="563"/>
      <c r="J7" s="564" t="str">
        <f>'[20]M-COVER PAGE'!F7</f>
        <v>5/14/2024, 5/22/24</v>
      </c>
      <c r="K7" s="565"/>
      <c r="L7" s="566"/>
      <c r="M7" s="567" t="str">
        <f>'[20]M-COVER PAGE'!I7</f>
        <v>STATUS</v>
      </c>
      <c r="N7" s="563"/>
      <c r="O7" s="622" t="str">
        <f>'[20]M-COVER PAGE'!K7</f>
        <v>SUBMIT PROTO</v>
      </c>
      <c r="P7" s="622"/>
      <c r="Q7" s="623"/>
      <c r="R7" s="620"/>
      <c r="S7" s="621"/>
    </row>
    <row r="8" spans="1:19" ht="9" customHeight="1">
      <c r="A8" s="551"/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</row>
    <row r="9" spans="1:19" ht="24" thickBot="1">
      <c r="A9" s="591"/>
      <c r="B9" s="591"/>
      <c r="C9" s="591"/>
      <c r="D9" s="591"/>
      <c r="E9" s="591"/>
      <c r="F9" s="361"/>
      <c r="G9" s="588" t="s">
        <v>180</v>
      </c>
      <c r="H9" s="588"/>
      <c r="I9" s="588"/>
      <c r="J9" s="588"/>
      <c r="K9" s="588"/>
      <c r="L9" s="588"/>
      <c r="M9" s="588"/>
      <c r="N9" s="588"/>
      <c r="O9" s="588"/>
      <c r="P9" s="588"/>
      <c r="Q9" s="588"/>
      <c r="R9" s="588"/>
      <c r="S9" s="588"/>
    </row>
    <row r="10" spans="1:19" s="327" customFormat="1">
      <c r="A10" s="592" t="s">
        <v>181</v>
      </c>
      <c r="B10" s="593"/>
      <c r="C10" s="598" t="s">
        <v>182</v>
      </c>
      <c r="D10" s="362"/>
      <c r="E10" s="598" t="s">
        <v>183</v>
      </c>
      <c r="F10" s="363"/>
      <c r="G10" s="364">
        <v>45426</v>
      </c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5"/>
    </row>
    <row r="11" spans="1:19" ht="15.65" customHeight="1">
      <c r="A11" s="594"/>
      <c r="B11" s="595"/>
      <c r="C11" s="599"/>
      <c r="D11" s="366"/>
      <c r="E11" s="599"/>
      <c r="F11" s="429" t="s">
        <v>184</v>
      </c>
      <c r="G11" s="589" t="s">
        <v>185</v>
      </c>
      <c r="H11" s="589" t="s">
        <v>186</v>
      </c>
      <c r="I11" s="589" t="s">
        <v>187</v>
      </c>
      <c r="J11" s="589" t="s">
        <v>188</v>
      </c>
      <c r="K11" s="589" t="s">
        <v>189</v>
      </c>
      <c r="L11" s="589" t="s">
        <v>190</v>
      </c>
      <c r="M11" s="589" t="s">
        <v>191</v>
      </c>
      <c r="N11" s="589" t="s">
        <v>192</v>
      </c>
      <c r="O11" s="589" t="s">
        <v>193</v>
      </c>
      <c r="P11" s="589" t="s">
        <v>194</v>
      </c>
      <c r="Q11" s="601" t="s">
        <v>195</v>
      </c>
      <c r="R11" s="601" t="s">
        <v>195</v>
      </c>
      <c r="S11" s="603" t="s">
        <v>196</v>
      </c>
    </row>
    <row r="12" spans="1:19">
      <c r="A12" s="596"/>
      <c r="B12" s="597"/>
      <c r="C12" s="600"/>
      <c r="D12" s="367"/>
      <c r="E12" s="600"/>
      <c r="F12" s="368" t="s">
        <v>197</v>
      </c>
      <c r="G12" s="590"/>
      <c r="H12" s="590"/>
      <c r="I12" s="590"/>
      <c r="J12" s="590"/>
      <c r="K12" s="590"/>
      <c r="L12" s="590"/>
      <c r="M12" s="590"/>
      <c r="N12" s="590"/>
      <c r="O12" s="590"/>
      <c r="P12" s="590"/>
      <c r="Q12" s="602"/>
      <c r="R12" s="602"/>
      <c r="S12" s="604"/>
    </row>
    <row r="13" spans="1:19" s="396" customFormat="1" ht="38.5" customHeight="1">
      <c r="A13" s="389"/>
      <c r="B13" s="390" t="s">
        <v>198</v>
      </c>
      <c r="C13" s="391" t="s">
        <v>199</v>
      </c>
      <c r="D13" s="391" t="s">
        <v>200</v>
      </c>
      <c r="E13" s="391" t="s">
        <v>201</v>
      </c>
      <c r="F13" s="392">
        <v>0.625</v>
      </c>
      <c r="G13" s="393">
        <f>27+15.5+5</f>
        <v>47.5</v>
      </c>
      <c r="H13" s="394"/>
      <c r="I13" s="393"/>
      <c r="J13" s="393"/>
      <c r="K13" s="394"/>
      <c r="L13" s="394"/>
      <c r="M13" s="394"/>
      <c r="N13" s="394"/>
      <c r="O13" s="394"/>
      <c r="P13" s="394"/>
      <c r="Q13" s="394"/>
      <c r="R13" s="394"/>
      <c r="S13" s="395"/>
    </row>
    <row r="14" spans="1:19" s="396" customFormat="1" ht="38.5" customHeight="1">
      <c r="A14" s="397"/>
      <c r="B14" s="390" t="s">
        <v>202</v>
      </c>
      <c r="C14" s="391" t="s">
        <v>203</v>
      </c>
      <c r="D14" s="391" t="s">
        <v>204</v>
      </c>
      <c r="E14" s="391" t="s">
        <v>205</v>
      </c>
      <c r="F14" s="392">
        <v>1</v>
      </c>
      <c r="G14" s="393">
        <v>50</v>
      </c>
      <c r="H14" s="394"/>
      <c r="I14" s="393"/>
      <c r="J14" s="393"/>
      <c r="K14" s="394"/>
      <c r="L14" s="394"/>
      <c r="M14" s="394"/>
      <c r="N14" s="394"/>
      <c r="O14" s="394"/>
      <c r="P14" s="394"/>
      <c r="Q14" s="394"/>
      <c r="R14" s="394"/>
      <c r="S14" s="395"/>
    </row>
    <row r="15" spans="1:19" s="396" customFormat="1" ht="38.5" customHeight="1">
      <c r="A15" s="397"/>
      <c r="B15" s="390" t="s">
        <v>206</v>
      </c>
      <c r="C15" s="391" t="s">
        <v>207</v>
      </c>
      <c r="D15" s="391" t="s">
        <v>208</v>
      </c>
      <c r="E15" s="391" t="s">
        <v>209</v>
      </c>
      <c r="F15" s="392">
        <v>1</v>
      </c>
      <c r="G15" s="393">
        <v>50</v>
      </c>
      <c r="H15" s="394"/>
      <c r="I15" s="393"/>
      <c r="J15" s="393"/>
      <c r="K15" s="394"/>
      <c r="L15" s="394"/>
      <c r="M15" s="394"/>
      <c r="N15" s="394"/>
      <c r="O15" s="394"/>
      <c r="P15" s="394"/>
      <c r="Q15" s="394"/>
      <c r="R15" s="394"/>
      <c r="S15" s="395"/>
    </row>
    <row r="16" spans="1:19" s="396" customFormat="1" ht="38.5" customHeight="1">
      <c r="A16" s="397"/>
      <c r="B16" s="390" t="s">
        <v>210</v>
      </c>
      <c r="C16" s="391"/>
      <c r="D16" s="391" t="s">
        <v>211</v>
      </c>
      <c r="E16" s="391" t="s">
        <v>212</v>
      </c>
      <c r="F16" s="392">
        <v>0.125</v>
      </c>
      <c r="G16" s="394">
        <v>1.25</v>
      </c>
      <c r="H16" s="394"/>
      <c r="I16" s="394"/>
      <c r="J16" s="394"/>
      <c r="K16" s="394"/>
      <c r="L16" s="394"/>
      <c r="M16" s="394"/>
      <c r="N16" s="394"/>
      <c r="O16" s="394"/>
      <c r="P16" s="394"/>
      <c r="Q16" s="394"/>
      <c r="R16" s="394"/>
      <c r="S16" s="395"/>
    </row>
    <row r="17" spans="1:19" s="396" customFormat="1" ht="38.5" customHeight="1">
      <c r="A17" s="397"/>
      <c r="B17" s="390" t="s">
        <v>213</v>
      </c>
      <c r="C17" s="391" t="s">
        <v>214</v>
      </c>
      <c r="D17" s="391" t="s">
        <v>215</v>
      </c>
      <c r="E17" s="391"/>
      <c r="F17" s="392"/>
      <c r="G17" s="394">
        <v>2</v>
      </c>
      <c r="H17" s="394"/>
      <c r="I17" s="394"/>
      <c r="J17" s="394"/>
      <c r="K17" s="394"/>
      <c r="L17" s="394"/>
      <c r="M17" s="394"/>
      <c r="N17" s="394"/>
      <c r="O17" s="394"/>
      <c r="P17" s="394"/>
      <c r="Q17" s="394"/>
      <c r="R17" s="394"/>
      <c r="S17" s="395"/>
    </row>
    <row r="18" spans="1:19" s="396" customFormat="1" ht="38.5" customHeight="1">
      <c r="A18" s="397"/>
      <c r="B18" s="390" t="s">
        <v>216</v>
      </c>
      <c r="C18" s="391" t="s">
        <v>217</v>
      </c>
      <c r="D18" s="391" t="s">
        <v>218</v>
      </c>
      <c r="E18" s="391" t="s">
        <v>219</v>
      </c>
      <c r="F18" s="392">
        <v>0.5</v>
      </c>
      <c r="G18" s="393">
        <v>23</v>
      </c>
      <c r="H18" s="394"/>
      <c r="I18" s="393"/>
      <c r="J18" s="393"/>
      <c r="K18" s="394"/>
      <c r="L18" s="394"/>
      <c r="M18" s="394"/>
      <c r="N18" s="394"/>
      <c r="O18" s="394"/>
      <c r="P18" s="394"/>
      <c r="Q18" s="394"/>
      <c r="R18" s="394"/>
      <c r="S18" s="395"/>
    </row>
    <row r="19" spans="1:19" s="396" customFormat="1" ht="38.5" customHeight="1">
      <c r="A19" s="397"/>
      <c r="B19" s="390" t="s">
        <v>220</v>
      </c>
      <c r="C19" s="391" t="s">
        <v>217</v>
      </c>
      <c r="D19" s="391" t="s">
        <v>221</v>
      </c>
      <c r="E19" s="391" t="s">
        <v>222</v>
      </c>
      <c r="F19" s="392">
        <v>0.5</v>
      </c>
      <c r="G19" s="393">
        <v>23</v>
      </c>
      <c r="H19" s="394"/>
      <c r="I19" s="393"/>
      <c r="J19" s="393"/>
      <c r="K19" s="394"/>
      <c r="L19" s="394"/>
      <c r="M19" s="394"/>
      <c r="N19" s="394"/>
      <c r="O19" s="394"/>
      <c r="P19" s="394"/>
      <c r="Q19" s="394"/>
      <c r="R19" s="394"/>
      <c r="S19" s="395"/>
    </row>
    <row r="20" spans="1:19" s="396" customFormat="1" ht="38.5" customHeight="1">
      <c r="A20" s="397"/>
      <c r="B20" s="390" t="s">
        <v>223</v>
      </c>
      <c r="C20" s="391" t="s">
        <v>224</v>
      </c>
      <c r="D20" s="391" t="s">
        <v>225</v>
      </c>
      <c r="E20" s="398" t="s">
        <v>226</v>
      </c>
      <c r="F20" s="392">
        <v>0.625</v>
      </c>
      <c r="G20" s="393">
        <v>26.5</v>
      </c>
      <c r="H20" s="394"/>
      <c r="I20" s="393"/>
      <c r="J20" s="393"/>
      <c r="K20" s="394"/>
      <c r="L20" s="394"/>
      <c r="M20" s="394"/>
      <c r="N20" s="394"/>
      <c r="O20" s="394"/>
      <c r="P20" s="394"/>
      <c r="Q20" s="394"/>
      <c r="R20" s="394"/>
      <c r="S20" s="395"/>
    </row>
    <row r="21" spans="1:19" s="396" customFormat="1" ht="38.5" customHeight="1">
      <c r="A21" s="397"/>
      <c r="B21" s="390" t="s">
        <v>227</v>
      </c>
      <c r="C21" s="391" t="s">
        <v>228</v>
      </c>
      <c r="D21" s="391" t="s">
        <v>229</v>
      </c>
      <c r="E21" s="398" t="s">
        <v>230</v>
      </c>
      <c r="F21" s="392">
        <v>0.375</v>
      </c>
      <c r="G21" s="393">
        <v>12.5</v>
      </c>
      <c r="H21" s="394"/>
      <c r="I21" s="393"/>
      <c r="J21" s="393"/>
      <c r="K21" s="394"/>
      <c r="L21" s="394"/>
      <c r="M21" s="394"/>
      <c r="N21" s="394"/>
      <c r="O21" s="394"/>
      <c r="P21" s="394"/>
      <c r="Q21" s="394"/>
      <c r="R21" s="394"/>
      <c r="S21" s="395"/>
    </row>
    <row r="22" spans="1:19" s="396" customFormat="1" ht="38.5" customHeight="1">
      <c r="A22" s="397"/>
      <c r="B22" s="390" t="s">
        <v>231</v>
      </c>
      <c r="C22" s="391" t="s">
        <v>203</v>
      </c>
      <c r="D22" s="391" t="s">
        <v>232</v>
      </c>
      <c r="E22" s="398" t="s">
        <v>233</v>
      </c>
      <c r="F22" s="392">
        <v>0.5</v>
      </c>
      <c r="G22" s="394"/>
      <c r="H22" s="394"/>
      <c r="I22" s="394"/>
      <c r="J22" s="394"/>
      <c r="K22" s="394"/>
      <c r="L22" s="394"/>
      <c r="M22" s="394"/>
      <c r="N22" s="394"/>
      <c r="O22" s="394"/>
      <c r="P22" s="394"/>
      <c r="Q22" s="394"/>
      <c r="R22" s="394"/>
      <c r="S22" s="395"/>
    </row>
    <row r="23" spans="1:19" s="396" customFormat="1" ht="38.5" customHeight="1">
      <c r="A23" s="397"/>
      <c r="B23" s="399" t="s">
        <v>234</v>
      </c>
      <c r="C23" s="391" t="s">
        <v>235</v>
      </c>
      <c r="D23" s="430" t="s">
        <v>236</v>
      </c>
      <c r="E23" s="398" t="s">
        <v>237</v>
      </c>
      <c r="F23" s="392">
        <v>0.375</v>
      </c>
      <c r="G23" s="394">
        <v>15.4</v>
      </c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5"/>
    </row>
    <row r="24" spans="1:19" s="396" customFormat="1" ht="38.5" customHeight="1">
      <c r="A24" s="397"/>
      <c r="B24" s="390" t="s">
        <v>238</v>
      </c>
      <c r="C24" s="391"/>
      <c r="D24" s="430" t="s">
        <v>239</v>
      </c>
      <c r="E24" s="398" t="s">
        <v>240</v>
      </c>
      <c r="F24" s="392">
        <v>0.125</v>
      </c>
      <c r="G24" s="394">
        <v>1.25</v>
      </c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5"/>
    </row>
    <row r="25" spans="1:19" s="396" customFormat="1" ht="38.5" customHeight="1">
      <c r="A25" s="431"/>
      <c r="B25" s="432" t="s">
        <v>241</v>
      </c>
      <c r="C25" s="430"/>
      <c r="D25" s="430" t="s">
        <v>242</v>
      </c>
      <c r="E25" s="433"/>
      <c r="F25" s="434"/>
      <c r="G25" s="435">
        <v>2</v>
      </c>
      <c r="H25" s="435"/>
      <c r="I25" s="435"/>
      <c r="J25" s="435"/>
      <c r="K25" s="435"/>
      <c r="L25" s="435"/>
      <c r="M25" s="435"/>
      <c r="N25" s="435"/>
      <c r="O25" s="435"/>
      <c r="P25" s="435"/>
      <c r="Q25" s="435"/>
      <c r="R25" s="435"/>
      <c r="S25" s="436"/>
    </row>
    <row r="26" spans="1:19" s="396" customFormat="1" ht="38.5" customHeight="1">
      <c r="A26" s="431"/>
      <c r="B26" s="432" t="s">
        <v>243</v>
      </c>
      <c r="C26" s="430"/>
      <c r="D26" s="430" t="s">
        <v>244</v>
      </c>
      <c r="E26" s="433"/>
      <c r="F26" s="434"/>
      <c r="G26" s="435">
        <v>10</v>
      </c>
      <c r="H26" s="435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6"/>
    </row>
    <row r="27" spans="1:19" s="396" customFormat="1" ht="38.5" customHeight="1">
      <c r="A27" s="431"/>
      <c r="B27" s="432" t="s">
        <v>245</v>
      </c>
      <c r="C27" s="430" t="s">
        <v>214</v>
      </c>
      <c r="D27" s="430" t="s">
        <v>246</v>
      </c>
      <c r="E27" s="433"/>
      <c r="F27" s="434"/>
      <c r="G27" s="435">
        <v>0.5</v>
      </c>
      <c r="H27" s="435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6"/>
    </row>
    <row r="28" spans="1:19" s="396" customFormat="1" ht="38.5" customHeight="1">
      <c r="A28" s="431"/>
      <c r="B28" s="432" t="s">
        <v>247</v>
      </c>
      <c r="C28" s="430"/>
      <c r="D28" s="430" t="s">
        <v>248</v>
      </c>
      <c r="E28" s="433"/>
      <c r="F28" s="434"/>
      <c r="G28" s="435">
        <v>8.75</v>
      </c>
      <c r="H28" s="435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6"/>
    </row>
    <row r="29" spans="1:19" s="396" customFormat="1" ht="38.5" customHeight="1">
      <c r="A29" s="431"/>
      <c r="B29" s="432" t="s">
        <v>249</v>
      </c>
      <c r="C29" s="430"/>
      <c r="D29" s="430" t="s">
        <v>250</v>
      </c>
      <c r="E29" s="433"/>
      <c r="F29" s="434"/>
      <c r="G29" s="435">
        <v>11.25</v>
      </c>
      <c r="H29" s="435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6"/>
    </row>
    <row r="30" spans="1:19" s="396" customFormat="1" ht="38.5" customHeight="1">
      <c r="A30" s="431"/>
      <c r="B30" s="432" t="s">
        <v>251</v>
      </c>
      <c r="C30" s="430" t="s">
        <v>252</v>
      </c>
      <c r="D30" s="430" t="s">
        <v>253</v>
      </c>
      <c r="E30" s="433"/>
      <c r="F30" s="434"/>
      <c r="G30" s="435">
        <v>1.75</v>
      </c>
      <c r="H30" s="435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6"/>
    </row>
    <row r="31" spans="1:19" s="396" customFormat="1" ht="38.5" customHeight="1" thickBot="1">
      <c r="A31" s="400"/>
      <c r="B31" s="401"/>
      <c r="C31" s="402"/>
      <c r="D31" s="402"/>
      <c r="E31" s="403"/>
      <c r="F31" s="404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6"/>
    </row>
  </sheetData>
  <mergeCells count="46">
    <mergeCell ref="A1:S1"/>
    <mergeCell ref="A2:E7"/>
    <mergeCell ref="H2:I2"/>
    <mergeCell ref="J2:L2"/>
    <mergeCell ref="M2:N2"/>
    <mergeCell ref="O2:Q2"/>
    <mergeCell ref="R2:S7"/>
    <mergeCell ref="H3:I3"/>
    <mergeCell ref="J3:L3"/>
    <mergeCell ref="M3:N3"/>
    <mergeCell ref="O3:Q3"/>
    <mergeCell ref="H4:I4"/>
    <mergeCell ref="O7:Q7"/>
    <mergeCell ref="J4:L4"/>
    <mergeCell ref="M4:N4"/>
    <mergeCell ref="O4:Q4"/>
    <mergeCell ref="H6:I6"/>
    <mergeCell ref="J6:L6"/>
    <mergeCell ref="M6:N6"/>
    <mergeCell ref="O6:Q6"/>
    <mergeCell ref="H5:I5"/>
    <mergeCell ref="J5:L5"/>
    <mergeCell ref="M5:N5"/>
    <mergeCell ref="O5:Q5"/>
    <mergeCell ref="M11:M12"/>
    <mergeCell ref="N11:N12"/>
    <mergeCell ref="H7:I7"/>
    <mergeCell ref="J7:L7"/>
    <mergeCell ref="M7:N7"/>
    <mergeCell ref="A8:S8"/>
    <mergeCell ref="O11:O12"/>
    <mergeCell ref="P11:P12"/>
    <mergeCell ref="A9:E9"/>
    <mergeCell ref="G9:S9"/>
    <mergeCell ref="A10:B12"/>
    <mergeCell ref="C10:C12"/>
    <mergeCell ref="E10:E12"/>
    <mergeCell ref="G11:G12"/>
    <mergeCell ref="H11:H12"/>
    <mergeCell ref="I11:I12"/>
    <mergeCell ref="J11:J12"/>
    <mergeCell ref="Q11:Q12"/>
    <mergeCell ref="R11:R12"/>
    <mergeCell ref="S11:S12"/>
    <mergeCell ref="K11:K12"/>
    <mergeCell ref="L11:L12"/>
  </mergeCells>
  <printOptions horizontalCentered="1"/>
  <pageMargins left="0" right="0" top="0" bottom="0" header="0" footer="0"/>
  <pageSetup scale="37" fitToHeight="2" orientation="landscape" r:id="rId1"/>
  <headerFooter>
    <oddHeader>&amp;LTOP _ LS</oddHeader>
    <oddFooter>&amp;L&amp;F&amp;C&amp;A&amp;R&amp;D&amp;T</oddFooter>
  </headerFooter>
  <colBreaks count="1" manualBreakCount="1">
    <brk id="20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2113B-5556-49A8-BFDB-05237268A078}">
  <sheetPr>
    <tabColor theme="4" tint="0.59999389629810485"/>
    <pageSetUpPr fitToPage="1"/>
  </sheetPr>
  <dimension ref="A1:S31"/>
  <sheetViews>
    <sheetView view="pageBreakPreview" topLeftCell="B3" zoomScale="60" zoomScaleNormal="100" zoomScalePageLayoutView="65" workbookViewId="0">
      <selection activeCell="C28" sqref="C28"/>
    </sheetView>
  </sheetViews>
  <sheetFormatPr defaultColWidth="12.1796875" defaultRowHeight="15.5"/>
  <cols>
    <col min="1" max="1" width="4" style="320" customWidth="1"/>
    <col min="2" max="2" width="40" style="320" customWidth="1"/>
    <col min="3" max="3" width="29.453125" style="320" customWidth="1"/>
    <col min="4" max="4" width="46.1796875" style="320" customWidth="1"/>
    <col min="5" max="5" width="30.7265625" style="320" customWidth="1"/>
    <col min="6" max="6" width="7.26953125" style="320" customWidth="1"/>
    <col min="7" max="16384" width="12.1796875" style="320"/>
  </cols>
  <sheetData>
    <row r="1" spans="1:19" ht="16" thickBot="1">
      <c r="A1" s="626"/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</row>
    <row r="2" spans="1:19" s="322" customFormat="1" ht="18.5">
      <c r="A2" s="609"/>
      <c r="B2" s="609"/>
      <c r="C2" s="609"/>
      <c r="D2" s="609"/>
      <c r="E2" s="609"/>
      <c r="F2" s="358"/>
      <c r="G2" s="359"/>
      <c r="H2" s="580" t="str">
        <f>'[20]M-COVER PAGE'!D2</f>
        <v>Factory</v>
      </c>
      <c r="I2" s="581"/>
      <c r="J2" s="582">
        <f>'[20]M-COVER PAGE'!F2</f>
        <v>0</v>
      </c>
      <c r="K2" s="583"/>
      <c r="L2" s="584"/>
      <c r="M2" s="585" t="str">
        <f>'[20]M-COVER PAGE'!I2</f>
        <v>Sample size</v>
      </c>
      <c r="N2" s="581"/>
      <c r="O2" s="610" t="str">
        <f>'[20]M-COVER PAGE'!K2</f>
        <v>S/M</v>
      </c>
      <c r="P2" s="610"/>
      <c r="Q2" s="611"/>
      <c r="R2" s="627" t="s">
        <v>179</v>
      </c>
      <c r="S2" s="628"/>
    </row>
    <row r="3" spans="1:19" s="322" customFormat="1" ht="18.5">
      <c r="A3" s="609"/>
      <c r="B3" s="609"/>
      <c r="C3" s="609"/>
      <c r="D3" s="609"/>
      <c r="E3" s="609"/>
      <c r="F3" s="358"/>
      <c r="G3" s="359"/>
      <c r="H3" s="553" t="str">
        <f>'[20]M-COVER PAGE'!D3</f>
        <v>Style</v>
      </c>
      <c r="I3" s="554"/>
      <c r="J3" s="577" t="str">
        <f>'[20]M-COVER PAGE'!F3</f>
        <v>MSCHF</v>
      </c>
      <c r="K3" s="578"/>
      <c r="L3" s="579"/>
      <c r="M3" s="558" t="str">
        <f>'[20]M-COVER PAGE'!I3</f>
        <v xml:space="preserve">Size range </v>
      </c>
      <c r="N3" s="554"/>
      <c r="O3" s="605" t="str">
        <f>'[20]M-COVER PAGE'!K3</f>
        <v>S/M, L/XL</v>
      </c>
      <c r="P3" s="605"/>
      <c r="Q3" s="606"/>
      <c r="R3" s="629"/>
      <c r="S3" s="630"/>
    </row>
    <row r="4" spans="1:19" s="322" customFormat="1" ht="18.5">
      <c r="A4" s="609"/>
      <c r="B4" s="609"/>
      <c r="C4" s="609"/>
      <c r="D4" s="609"/>
      <c r="E4" s="609"/>
      <c r="F4" s="358"/>
      <c r="G4" s="359"/>
      <c r="H4" s="553" t="str">
        <f>'[20]M-COVER PAGE'!D4</f>
        <v xml:space="preserve"> Description</v>
      </c>
      <c r="I4" s="554"/>
      <c r="J4" s="571" t="str">
        <f>'[20]M-COVER PAGE'!F4</f>
        <v>CINCHED TOP</v>
      </c>
      <c r="K4" s="572"/>
      <c r="L4" s="573"/>
      <c r="M4" s="558">
        <f>'[20]M-COVER PAGE'!I4</f>
        <v>0</v>
      </c>
      <c r="N4" s="554"/>
      <c r="O4" s="605">
        <f>'[20]M-COVER PAGE'!K4</f>
        <v>0</v>
      </c>
      <c r="P4" s="605"/>
      <c r="Q4" s="606"/>
      <c r="R4" s="631"/>
      <c r="S4" s="632"/>
    </row>
    <row r="5" spans="1:19" s="322" customFormat="1" ht="18.5">
      <c r="A5" s="609"/>
      <c r="B5" s="609"/>
      <c r="C5" s="609"/>
      <c r="D5" s="609"/>
      <c r="E5" s="609"/>
      <c r="F5" s="358"/>
      <c r="G5" s="360"/>
      <c r="H5" s="575" t="str">
        <f>'[20]M-COVER PAGE'!D5</f>
        <v>Season</v>
      </c>
      <c r="I5" s="576"/>
      <c r="J5" s="571" t="str">
        <f>'[20]M-COVER PAGE'!F5</f>
        <v>BIG TECH RUNNER</v>
      </c>
      <c r="K5" s="572"/>
      <c r="L5" s="573"/>
      <c r="M5" s="558" t="str">
        <f>'[20]M-COVER PAGE'!I5</f>
        <v>Sample due date</v>
      </c>
      <c r="N5" s="554"/>
      <c r="O5" s="605">
        <f>'[20]M-COVER PAGE'!K5</f>
        <v>0</v>
      </c>
      <c r="P5" s="605"/>
      <c r="Q5" s="606"/>
      <c r="R5" s="631"/>
      <c r="S5" s="632"/>
    </row>
    <row r="6" spans="1:19" s="322" customFormat="1" ht="18.5">
      <c r="A6" s="609"/>
      <c r="B6" s="609"/>
      <c r="C6" s="609"/>
      <c r="D6" s="609"/>
      <c r="E6" s="609"/>
      <c r="F6" s="358"/>
      <c r="G6" s="359"/>
      <c r="H6" s="553" t="str">
        <f>'[20]M-COVER PAGE'!D6</f>
        <v>Date created</v>
      </c>
      <c r="I6" s="554"/>
      <c r="J6" s="555">
        <f>'[20]M-COVER PAGE'!F6</f>
        <v>45367</v>
      </c>
      <c r="K6" s="556"/>
      <c r="L6" s="557"/>
      <c r="M6" s="558" t="str">
        <f>'[20]M-COVER PAGE'!I6</f>
        <v>Reference style</v>
      </c>
      <c r="N6" s="554"/>
      <c r="O6" s="607">
        <f>'[20]M-COVER PAGE'!K6</f>
        <v>0</v>
      </c>
      <c r="P6" s="607"/>
      <c r="Q6" s="608"/>
      <c r="R6" s="633"/>
      <c r="S6" s="634"/>
    </row>
    <row r="7" spans="1:19" s="322" customFormat="1" ht="19" thickBot="1">
      <c r="A7" s="609"/>
      <c r="B7" s="609"/>
      <c r="C7" s="609"/>
      <c r="D7" s="609"/>
      <c r="E7" s="609"/>
      <c r="F7" s="358"/>
      <c r="G7" s="359"/>
      <c r="H7" s="562" t="str">
        <f>'[20]M-COVER PAGE'!D7</f>
        <v>Date revised</v>
      </c>
      <c r="I7" s="563"/>
      <c r="J7" s="564" t="str">
        <f>'[20]M-COVER PAGE'!F7</f>
        <v>5/14/2024, 5/22/24</v>
      </c>
      <c r="K7" s="565"/>
      <c r="L7" s="566"/>
      <c r="M7" s="567" t="str">
        <f>'[20]M-COVER PAGE'!I7</f>
        <v>STATUS</v>
      </c>
      <c r="N7" s="563"/>
      <c r="O7" s="622" t="str">
        <f>'[20]M-COVER PAGE'!K7</f>
        <v>SUBMIT PROTO</v>
      </c>
      <c r="P7" s="622"/>
      <c r="Q7" s="623"/>
      <c r="R7" s="635"/>
      <c r="S7" s="636"/>
    </row>
    <row r="8" spans="1:19" ht="9" customHeight="1">
      <c r="A8" s="551"/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</row>
    <row r="9" spans="1:19" ht="24" thickBot="1">
      <c r="A9" s="591"/>
      <c r="B9" s="591"/>
      <c r="C9" s="591"/>
      <c r="D9" s="591"/>
      <c r="E9" s="591"/>
      <c r="F9" s="361"/>
      <c r="G9" s="588" t="s">
        <v>254</v>
      </c>
      <c r="H9" s="588"/>
      <c r="I9" s="588"/>
      <c r="J9" s="588"/>
      <c r="K9" s="588"/>
      <c r="L9" s="588"/>
      <c r="M9" s="588"/>
      <c r="N9" s="588"/>
      <c r="O9" s="588"/>
      <c r="P9" s="588"/>
      <c r="Q9" s="588"/>
      <c r="R9" s="588"/>
      <c r="S9" s="588"/>
    </row>
    <row r="10" spans="1:19" s="327" customFormat="1">
      <c r="A10" s="592" t="s">
        <v>181</v>
      </c>
      <c r="B10" s="593"/>
      <c r="C10" s="598" t="s">
        <v>182</v>
      </c>
      <c r="D10" s="362"/>
      <c r="E10" s="598" t="s">
        <v>183</v>
      </c>
      <c r="F10" s="378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5"/>
    </row>
    <row r="11" spans="1:19">
      <c r="A11" s="594"/>
      <c r="B11" s="595"/>
      <c r="C11" s="599"/>
      <c r="D11" s="366"/>
      <c r="E11" s="599"/>
      <c r="F11" s="429" t="s">
        <v>184</v>
      </c>
      <c r="G11" s="624" t="s">
        <v>255</v>
      </c>
      <c r="H11" s="624"/>
      <c r="I11" s="624" t="s">
        <v>37</v>
      </c>
      <c r="J11" s="624"/>
      <c r="K11" s="624" t="s">
        <v>38</v>
      </c>
      <c r="L11" s="437"/>
      <c r="M11" s="624" t="s">
        <v>39</v>
      </c>
      <c r="N11" s="437"/>
      <c r="O11" s="624" t="s">
        <v>40</v>
      </c>
      <c r="P11" s="437"/>
      <c r="Q11" s="624" t="s">
        <v>41</v>
      </c>
      <c r="R11" s="437"/>
      <c r="S11" s="603" t="s">
        <v>42</v>
      </c>
    </row>
    <row r="12" spans="1:19">
      <c r="A12" s="596"/>
      <c r="B12" s="597"/>
      <c r="C12" s="600"/>
      <c r="D12" s="367"/>
      <c r="E12" s="600"/>
      <c r="F12" s="368" t="s">
        <v>256</v>
      </c>
      <c r="G12" s="625"/>
      <c r="H12" s="625"/>
      <c r="I12" s="625"/>
      <c r="J12" s="625"/>
      <c r="K12" s="625"/>
      <c r="L12" s="379"/>
      <c r="M12" s="625"/>
      <c r="N12" s="379"/>
      <c r="O12" s="625"/>
      <c r="P12" s="379"/>
      <c r="Q12" s="625"/>
      <c r="R12" s="379"/>
      <c r="S12" s="604"/>
    </row>
    <row r="13" spans="1:19">
      <c r="A13" s="372">
        <f>'M-SPEC'!A13</f>
        <v>0</v>
      </c>
      <c r="B13" s="369" t="str">
        <f>'M-SPEC'!B13</f>
        <v>BODY LENGTH</v>
      </c>
      <c r="C13" s="369" t="str">
        <f>'M-SPEC'!C13</f>
        <v xml:space="preserve">from top edge to bottom edge </v>
      </c>
      <c r="D13" s="370" t="s">
        <v>200</v>
      </c>
      <c r="E13" s="369" t="str">
        <f>'M-SPEC'!E13</f>
        <v>身长高点到边</v>
      </c>
      <c r="F13" s="371">
        <f>'M-SPEC'!F13</f>
        <v>0.625</v>
      </c>
      <c r="G13" s="380">
        <f>I13-1/2</f>
        <v>-2.5</v>
      </c>
      <c r="H13" s="381"/>
      <c r="I13" s="381">
        <f>K13-1</f>
        <v>-2</v>
      </c>
      <c r="J13" s="381"/>
      <c r="K13" s="381">
        <f>M13-1</f>
        <v>-1</v>
      </c>
      <c r="L13" s="381"/>
      <c r="M13" s="382">
        <f>'M-SPEC'!S13</f>
        <v>0</v>
      </c>
      <c r="N13" s="381"/>
      <c r="O13" s="381">
        <f>M13+1</f>
        <v>1</v>
      </c>
      <c r="P13" s="381"/>
      <c r="Q13" s="381">
        <f>O13+1</f>
        <v>2</v>
      </c>
      <c r="R13" s="381"/>
      <c r="S13" s="383">
        <f>Q13+1</f>
        <v>3</v>
      </c>
    </row>
    <row r="14" spans="1:19">
      <c r="A14" s="372">
        <f>'M-SPEC'!A14</f>
        <v>0</v>
      </c>
      <c r="B14" s="369" t="str">
        <f>'M-SPEC'!B14</f>
        <v>BODY CIRCUMFERENCE</v>
      </c>
      <c r="C14" s="369" t="str">
        <f>'M-SPEC'!C14</f>
        <v>at 1" below AH</v>
      </c>
      <c r="D14" s="370" t="s">
        <v>204</v>
      </c>
      <c r="E14" s="369" t="str">
        <f>'M-SPEC'!E14</f>
        <v>胸围-1"距夹</v>
      </c>
      <c r="F14" s="371">
        <f>'M-SPEC'!F14</f>
        <v>1</v>
      </c>
      <c r="G14" s="380">
        <f>I14-1.5</f>
        <v>-5.5</v>
      </c>
      <c r="H14" s="381"/>
      <c r="I14" s="381">
        <f>K14-2</f>
        <v>-4</v>
      </c>
      <c r="J14" s="381"/>
      <c r="K14" s="381">
        <f>M14-2</f>
        <v>-2</v>
      </c>
      <c r="L14" s="381"/>
      <c r="M14" s="382">
        <f>'M-SPEC'!S14</f>
        <v>0</v>
      </c>
      <c r="N14" s="381"/>
      <c r="O14" s="381">
        <f>M14+2.5</f>
        <v>2.5</v>
      </c>
      <c r="P14" s="381"/>
      <c r="Q14" s="381">
        <f>O14+3</f>
        <v>5.5</v>
      </c>
      <c r="R14" s="381"/>
      <c r="S14" s="383">
        <f>Q14+3</f>
        <v>8.5</v>
      </c>
    </row>
    <row r="15" spans="1:19">
      <c r="A15" s="372">
        <f>'M-SPEC'!A15</f>
        <v>0</v>
      </c>
      <c r="B15" s="369" t="str">
        <f>'M-SPEC'!B15</f>
        <v>SWEEP CIRCUMFERENCE</v>
      </c>
      <c r="C15" s="369" t="str">
        <f>'M-SPEC'!C15</f>
        <v>along the edge</v>
      </c>
      <c r="D15" s="370" t="s">
        <v>208</v>
      </c>
      <c r="E15" s="369" t="str">
        <f>'M-SPEC'!E15</f>
        <v>下摆-沿边量</v>
      </c>
      <c r="F15" s="371">
        <f>'M-SPEC'!F15</f>
        <v>1</v>
      </c>
      <c r="G15" s="380">
        <f>I15-1.5</f>
        <v>-5.5</v>
      </c>
      <c r="H15" s="381"/>
      <c r="I15" s="381">
        <f>K15-2</f>
        <v>-4</v>
      </c>
      <c r="J15" s="381"/>
      <c r="K15" s="381">
        <f>M15-2</f>
        <v>-2</v>
      </c>
      <c r="L15" s="381"/>
      <c r="M15" s="382">
        <f>'M-SPEC'!S15</f>
        <v>0</v>
      </c>
      <c r="N15" s="381"/>
      <c r="O15" s="381">
        <f>M15+2.5</f>
        <v>2.5</v>
      </c>
      <c r="P15" s="381"/>
      <c r="Q15" s="381">
        <f>O15+3</f>
        <v>5.5</v>
      </c>
      <c r="R15" s="381"/>
      <c r="S15" s="383">
        <f>Q15+3</f>
        <v>8.5</v>
      </c>
    </row>
    <row r="16" spans="1:19">
      <c r="A16" s="372">
        <f>'M-SPEC'!A16</f>
        <v>0</v>
      </c>
      <c r="B16" s="369" t="str">
        <f>'M-SPEC'!B16</f>
        <v>TOP &amp; SWEEP HEM HEIGHT</v>
      </c>
      <c r="C16" s="369">
        <f>'M-SPEC'!C16</f>
        <v>0</v>
      </c>
      <c r="D16" s="370" t="s">
        <v>211</v>
      </c>
      <c r="E16" s="369" t="str">
        <f>'M-SPEC'!E16</f>
        <v>下摆脚边高</v>
      </c>
      <c r="F16" s="371">
        <f>'M-SPEC'!F16</f>
        <v>0.125</v>
      </c>
      <c r="G16" s="381">
        <f>I16-0</f>
        <v>0</v>
      </c>
      <c r="H16" s="381"/>
      <c r="I16" s="381">
        <f>K16-0</f>
        <v>0</v>
      </c>
      <c r="J16" s="381"/>
      <c r="K16" s="381">
        <f>M16-0</f>
        <v>0</v>
      </c>
      <c r="L16" s="381"/>
      <c r="M16" s="382">
        <f>'M-SPEC'!S16</f>
        <v>0</v>
      </c>
      <c r="N16" s="381"/>
      <c r="O16" s="381">
        <f>M16+0</f>
        <v>0</v>
      </c>
      <c r="P16" s="381"/>
      <c r="Q16" s="381">
        <f>O16+0</f>
        <v>0</v>
      </c>
      <c r="R16" s="381"/>
      <c r="S16" s="383">
        <f>Q16+0</f>
        <v>0</v>
      </c>
    </row>
    <row r="17" spans="1:19">
      <c r="A17" s="372">
        <f>'M-SPEC'!A17</f>
        <v>0</v>
      </c>
      <c r="B17" s="369" t="str">
        <f>'M-SPEC'!B17</f>
        <v>TOP &amp; SWEEP HEM BUNGEE HEIGHT</v>
      </c>
      <c r="C17" s="369" t="str">
        <f>'M-SPEC'!C17</f>
        <v>exposed</v>
      </c>
      <c r="D17" s="370" t="s">
        <v>215</v>
      </c>
      <c r="E17" s="369">
        <f>'M-SPEC'!E17</f>
        <v>0</v>
      </c>
      <c r="F17" s="371">
        <f>'M-SPEC'!F17</f>
        <v>0</v>
      </c>
      <c r="G17" s="381"/>
      <c r="H17" s="381"/>
      <c r="I17" s="381"/>
      <c r="J17" s="381"/>
      <c r="K17" s="381"/>
      <c r="L17" s="381"/>
      <c r="M17" s="382"/>
      <c r="N17" s="381"/>
      <c r="O17" s="381"/>
      <c r="P17" s="381"/>
      <c r="Q17" s="381"/>
      <c r="R17" s="381"/>
      <c r="S17" s="384"/>
    </row>
    <row r="18" spans="1:19">
      <c r="A18" s="372">
        <f>'M-SPEC'!A18</f>
        <v>0</v>
      </c>
      <c r="B18" s="369" t="str">
        <f>'M-SPEC'!B18</f>
        <v>ACROSS FRONT - SET-IN</v>
      </c>
      <c r="C18" s="369" t="str">
        <f>'M-SPEC'!C18</f>
        <v xml:space="preserve">at center of armhole </v>
      </c>
      <c r="D18" s="370" t="s">
        <v>218</v>
      </c>
      <c r="E18" s="369" t="str">
        <f>'M-SPEC'!E18</f>
        <v>前宽</v>
      </c>
      <c r="F18" s="371">
        <f>'M-SPEC'!F18</f>
        <v>0.5</v>
      </c>
      <c r="G18" s="381">
        <f>I18-0.5</f>
        <v>-2</v>
      </c>
      <c r="H18" s="381"/>
      <c r="I18" s="381">
        <f>K18-0.75</f>
        <v>-1.5</v>
      </c>
      <c r="J18" s="381"/>
      <c r="K18" s="381">
        <f>M18-0.75</f>
        <v>-0.75</v>
      </c>
      <c r="L18" s="381"/>
      <c r="M18" s="382">
        <f>'M-SPEC'!S18</f>
        <v>0</v>
      </c>
      <c r="N18" s="381"/>
      <c r="O18" s="381">
        <f>M18+0.75</f>
        <v>0.75</v>
      </c>
      <c r="P18" s="381"/>
      <c r="Q18" s="381">
        <f>O18+1</f>
        <v>1.75</v>
      </c>
      <c r="R18" s="381"/>
      <c r="S18" s="381">
        <f>Q18+1</f>
        <v>2.75</v>
      </c>
    </row>
    <row r="19" spans="1:19">
      <c r="A19" s="372">
        <f>'M-SPEC'!A19</f>
        <v>0</v>
      </c>
      <c r="B19" s="369" t="str">
        <f>'M-SPEC'!B19</f>
        <v>ACROSS BACK - SET-IN</v>
      </c>
      <c r="C19" s="369" t="str">
        <f>'M-SPEC'!C19</f>
        <v xml:space="preserve">at center of armhole </v>
      </c>
      <c r="D19" s="370" t="s">
        <v>221</v>
      </c>
      <c r="E19" s="369" t="str">
        <f>'M-SPEC'!E19</f>
        <v>后宽</v>
      </c>
      <c r="F19" s="371">
        <f>'M-SPEC'!F19</f>
        <v>0.5</v>
      </c>
      <c r="G19" s="381">
        <f>I19-0.5</f>
        <v>-2</v>
      </c>
      <c r="H19" s="381"/>
      <c r="I19" s="381">
        <f>K19-0.75</f>
        <v>-1.5</v>
      </c>
      <c r="J19" s="381"/>
      <c r="K19" s="381">
        <f>M19-0.75</f>
        <v>-0.75</v>
      </c>
      <c r="L19" s="381"/>
      <c r="M19" s="382">
        <f>'M-SPEC'!S19</f>
        <v>0</v>
      </c>
      <c r="N19" s="381"/>
      <c r="O19" s="381">
        <f>M19+0.75</f>
        <v>0.75</v>
      </c>
      <c r="P19" s="381"/>
      <c r="Q19" s="381">
        <f>O19+1</f>
        <v>1.75</v>
      </c>
      <c r="R19" s="381"/>
      <c r="S19" s="381">
        <f>Q19+1</f>
        <v>2.75</v>
      </c>
    </row>
    <row r="20" spans="1:19">
      <c r="A20" s="372">
        <f>'M-SPEC'!A20</f>
        <v>0</v>
      </c>
      <c r="B20" s="369" t="str">
        <f>'M-SPEC'!B20</f>
        <v>SLEEVE LENGTH - LONG SLEEVES</v>
      </c>
      <c r="C20" s="369" t="str">
        <f>'M-SPEC'!C20</f>
        <v>from AH</v>
      </c>
      <c r="D20" s="370" t="s">
        <v>225</v>
      </c>
      <c r="E20" s="369" t="str">
        <f>'M-SPEC'!E20</f>
        <v>袖长</v>
      </c>
      <c r="F20" s="371">
        <f>'M-SPEC'!F20</f>
        <v>0.625</v>
      </c>
      <c r="G20" s="381">
        <f>I20-0.875</f>
        <v>-2.625</v>
      </c>
      <c r="H20" s="381"/>
      <c r="I20" s="381">
        <f>K20-0.875</f>
        <v>-1.75</v>
      </c>
      <c r="J20" s="381"/>
      <c r="K20" s="381">
        <f>M20-0.875</f>
        <v>-0.875</v>
      </c>
      <c r="L20" s="381"/>
      <c r="M20" s="382">
        <f>'M-SPEC'!S20</f>
        <v>0</v>
      </c>
      <c r="N20" s="381"/>
      <c r="O20" s="381">
        <f>M20+1</f>
        <v>1</v>
      </c>
      <c r="P20" s="381"/>
      <c r="Q20" s="381">
        <f>O20+1</f>
        <v>2</v>
      </c>
      <c r="R20" s="381"/>
      <c r="S20" s="383">
        <f>Q20+1</f>
        <v>3</v>
      </c>
    </row>
    <row r="21" spans="1:19">
      <c r="A21" s="372">
        <f>'M-SPEC'!A21</f>
        <v>0</v>
      </c>
      <c r="B21" s="369" t="str">
        <f>'M-SPEC'!B21</f>
        <v xml:space="preserve">ARMHOLE HEIGHT </v>
      </c>
      <c r="C21" s="369" t="str">
        <f>'M-SPEC'!C21</f>
        <v>straight</v>
      </c>
      <c r="D21" s="370" t="s">
        <v>229</v>
      </c>
      <c r="E21" s="369" t="str">
        <f>'M-SPEC'!E21</f>
        <v>夹直-从袖肩点到袖笼底直量</v>
      </c>
      <c r="F21" s="371">
        <f>'M-SPEC'!F21</f>
        <v>0.375</v>
      </c>
      <c r="G21" s="381">
        <f>I21-0.375</f>
        <v>-1.125</v>
      </c>
      <c r="H21" s="381"/>
      <c r="I21" s="381">
        <f>K21-0.375</f>
        <v>-0.75</v>
      </c>
      <c r="J21" s="381"/>
      <c r="K21" s="381">
        <f>M21-0.375</f>
        <v>-0.375</v>
      </c>
      <c r="L21" s="381"/>
      <c r="M21" s="382">
        <f>'M-SPEC'!S21</f>
        <v>0</v>
      </c>
      <c r="N21" s="381"/>
      <c r="O21" s="381">
        <f>M21+0.5</f>
        <v>0.5</v>
      </c>
      <c r="P21" s="381"/>
      <c r="Q21" s="381">
        <f>O21+0.5</f>
        <v>1</v>
      </c>
      <c r="R21" s="381"/>
      <c r="S21" s="383">
        <f>Q21+0.5</f>
        <v>1.5</v>
      </c>
    </row>
    <row r="22" spans="1:19">
      <c r="A22" s="372">
        <f>'M-SPEC'!A22</f>
        <v>0</v>
      </c>
      <c r="B22" s="369" t="str">
        <f>'M-SPEC'!B22</f>
        <v>MUSCLE CIRCUMFERENCE</v>
      </c>
      <c r="C22" s="369" t="str">
        <f>'M-SPEC'!C22</f>
        <v>at 1" below AH</v>
      </c>
      <c r="D22" s="370" t="s">
        <v>232</v>
      </c>
      <c r="E22" s="369" t="str">
        <f>'M-SPEC'!E22</f>
        <v>臂围-1"距夹</v>
      </c>
      <c r="F22" s="371">
        <f>'M-SPEC'!F22</f>
        <v>0.5</v>
      </c>
      <c r="G22" s="381">
        <f>I22-0.625</f>
        <v>-1.875</v>
      </c>
      <c r="H22" s="381"/>
      <c r="I22" s="381">
        <f>K22-0.625</f>
        <v>-1.25</v>
      </c>
      <c r="J22" s="381"/>
      <c r="K22" s="381">
        <f>M22-0.625</f>
        <v>-0.625</v>
      </c>
      <c r="L22" s="381"/>
      <c r="M22" s="382">
        <f>'M-SPEC'!S22</f>
        <v>0</v>
      </c>
      <c r="N22" s="381"/>
      <c r="O22" s="381">
        <f>M22+0.75</f>
        <v>0.75</v>
      </c>
      <c r="P22" s="381"/>
      <c r="Q22" s="381">
        <f>O22+0.75</f>
        <v>1.5</v>
      </c>
      <c r="R22" s="381"/>
      <c r="S22" s="383">
        <f>Q22+0.75</f>
        <v>2.25</v>
      </c>
    </row>
    <row r="23" spans="1:19">
      <c r="A23" s="372">
        <f>'M-SPEC'!A23</f>
        <v>0</v>
      </c>
      <c r="B23" s="369" t="str">
        <f>'M-SPEC'!B23</f>
        <v>CUFF CIRCUMFERENCE - LONG SLEEVES</v>
      </c>
      <c r="C23" s="369" t="str">
        <f>'M-SPEC'!C23</f>
        <v>at edge</v>
      </c>
      <c r="D23" s="438" t="s">
        <v>236</v>
      </c>
      <c r="E23" s="369" t="str">
        <f>'M-SPEC'!E23</f>
        <v>袖口围</v>
      </c>
      <c r="F23" s="371">
        <f>'M-SPEC'!F23</f>
        <v>0.375</v>
      </c>
      <c r="G23" s="381">
        <f>I23-0.25</f>
        <v>-0.75</v>
      </c>
      <c r="H23" s="381"/>
      <c r="I23" s="381">
        <f>K23-0.25</f>
        <v>-0.5</v>
      </c>
      <c r="J23" s="381"/>
      <c r="K23" s="381">
        <f>M23-0.25</f>
        <v>-0.25</v>
      </c>
      <c r="L23" s="381"/>
      <c r="M23" s="382">
        <f>'M-SPEC'!S23</f>
        <v>0</v>
      </c>
      <c r="N23" s="381"/>
      <c r="O23" s="381">
        <f>M23+0.375</f>
        <v>0.375</v>
      </c>
      <c r="P23" s="381"/>
      <c r="Q23" s="381">
        <f>O23+0.375</f>
        <v>0.75</v>
      </c>
      <c r="R23" s="381"/>
      <c r="S23" s="383">
        <f>Q23+0.375</f>
        <v>1.125</v>
      </c>
    </row>
    <row r="24" spans="1:19">
      <c r="A24" s="372">
        <f>'M-SPEC'!A24</f>
        <v>0</v>
      </c>
      <c r="B24" s="369" t="str">
        <f>'M-SPEC'!B24</f>
        <v>CUFF HEM HEIGHT</v>
      </c>
      <c r="C24" s="369">
        <f>'M-SPEC'!C24</f>
        <v>0</v>
      </c>
      <c r="D24" s="438" t="s">
        <v>239</v>
      </c>
      <c r="E24" s="369" t="str">
        <f>'M-SPEC'!E24</f>
        <v>袖克夫高</v>
      </c>
      <c r="F24" s="371">
        <f>'M-SPEC'!F24</f>
        <v>0.125</v>
      </c>
      <c r="G24" s="381">
        <f>I24-0</f>
        <v>0</v>
      </c>
      <c r="H24" s="381"/>
      <c r="I24" s="381">
        <f>K24-0</f>
        <v>0</v>
      </c>
      <c r="J24" s="381"/>
      <c r="K24" s="381">
        <f>M24-0</f>
        <v>0</v>
      </c>
      <c r="L24" s="381"/>
      <c r="M24" s="382">
        <f>'M-SPEC'!S24</f>
        <v>0</v>
      </c>
      <c r="N24" s="381"/>
      <c r="O24" s="381">
        <f>M24+0</f>
        <v>0</v>
      </c>
      <c r="P24" s="381"/>
      <c r="Q24" s="381">
        <f>O24+0</f>
        <v>0</v>
      </c>
      <c r="R24" s="381"/>
      <c r="S24" s="383">
        <f>Q24+0</f>
        <v>0</v>
      </c>
    </row>
    <row r="25" spans="1:19">
      <c r="A25" s="439"/>
      <c r="B25" s="440"/>
      <c r="C25" s="440"/>
      <c r="D25" s="438"/>
      <c r="E25" s="440"/>
      <c r="F25" s="441"/>
      <c r="G25" s="442"/>
      <c r="H25" s="442"/>
      <c r="I25" s="442"/>
      <c r="J25" s="442"/>
      <c r="K25" s="442"/>
      <c r="L25" s="442"/>
      <c r="M25" s="443"/>
      <c r="N25" s="442"/>
      <c r="O25" s="442"/>
      <c r="P25" s="442"/>
      <c r="Q25" s="442"/>
      <c r="R25" s="442"/>
      <c r="S25" s="444"/>
    </row>
    <row r="26" spans="1:19">
      <c r="A26" s="439"/>
      <c r="B26" s="440"/>
      <c r="C26" s="440"/>
      <c r="D26" s="438"/>
      <c r="E26" s="440"/>
      <c r="F26" s="441"/>
      <c r="G26" s="442"/>
      <c r="H26" s="442"/>
      <c r="I26" s="442"/>
      <c r="J26" s="442"/>
      <c r="K26" s="442"/>
      <c r="L26" s="442"/>
      <c r="M26" s="443"/>
      <c r="N26" s="442"/>
      <c r="O26" s="442"/>
      <c r="P26" s="442"/>
      <c r="Q26" s="442"/>
      <c r="R26" s="442"/>
      <c r="S26" s="444"/>
    </row>
    <row r="27" spans="1:19">
      <c r="A27" s="439"/>
      <c r="B27" s="440"/>
      <c r="C27" s="440"/>
      <c r="D27" s="438"/>
      <c r="E27" s="440"/>
      <c r="F27" s="441"/>
      <c r="G27" s="442"/>
      <c r="H27" s="442"/>
      <c r="I27" s="442"/>
      <c r="J27" s="442"/>
      <c r="K27" s="442"/>
      <c r="L27" s="442"/>
      <c r="M27" s="443"/>
      <c r="N27" s="442"/>
      <c r="O27" s="442"/>
      <c r="P27" s="442"/>
      <c r="Q27" s="442"/>
      <c r="R27" s="442"/>
      <c r="S27" s="444"/>
    </row>
    <row r="28" spans="1:19">
      <c r="A28" s="439"/>
      <c r="B28" s="440"/>
      <c r="C28" s="440"/>
      <c r="D28" s="438"/>
      <c r="E28" s="440"/>
      <c r="F28" s="441"/>
      <c r="G28" s="442"/>
      <c r="H28" s="442"/>
      <c r="I28" s="442"/>
      <c r="J28" s="442"/>
      <c r="K28" s="442"/>
      <c r="L28" s="442"/>
      <c r="M28" s="443"/>
      <c r="N28" s="442"/>
      <c r="O28" s="442"/>
      <c r="P28" s="442"/>
      <c r="Q28" s="442"/>
      <c r="R28" s="442"/>
      <c r="S28" s="444"/>
    </row>
    <row r="29" spans="1:19">
      <c r="A29" s="439"/>
      <c r="B29" s="440"/>
      <c r="C29" s="440"/>
      <c r="D29" s="438"/>
      <c r="E29" s="440"/>
      <c r="F29" s="441"/>
      <c r="G29" s="442"/>
      <c r="H29" s="442"/>
      <c r="I29" s="442"/>
      <c r="J29" s="442"/>
      <c r="K29" s="442"/>
      <c r="L29" s="442"/>
      <c r="M29" s="443"/>
      <c r="N29" s="442"/>
      <c r="O29" s="442"/>
      <c r="P29" s="442"/>
      <c r="Q29" s="442"/>
      <c r="R29" s="442"/>
      <c r="S29" s="444"/>
    </row>
    <row r="30" spans="1:19">
      <c r="A30" s="439"/>
      <c r="B30" s="440"/>
      <c r="C30" s="440"/>
      <c r="D30" s="438"/>
      <c r="E30" s="440"/>
      <c r="F30" s="441"/>
      <c r="G30" s="442"/>
      <c r="H30" s="442"/>
      <c r="I30" s="442"/>
      <c r="J30" s="442"/>
      <c r="K30" s="442"/>
      <c r="L30" s="442"/>
      <c r="M30" s="443"/>
      <c r="N30" s="442"/>
      <c r="O30" s="442"/>
      <c r="P30" s="442"/>
      <c r="Q30" s="442"/>
      <c r="R30" s="442"/>
      <c r="S30" s="444"/>
    </row>
    <row r="31" spans="1:19" ht="16" thickBot="1">
      <c r="A31" s="373">
        <f>'M-SPEC'!A31</f>
        <v>0</v>
      </c>
      <c r="B31" s="374">
        <f>'M-SPEC'!B31</f>
        <v>0</v>
      </c>
      <c r="C31" s="374">
        <f>'M-SPEC'!C31</f>
        <v>0</v>
      </c>
      <c r="D31" s="375"/>
      <c r="E31" s="376">
        <f>'M-SPEC'!E31</f>
        <v>0</v>
      </c>
      <c r="F31" s="377">
        <f>'M-SPEC'!F31</f>
        <v>0</v>
      </c>
      <c r="G31" s="385"/>
      <c r="H31" s="386"/>
      <c r="I31" s="386"/>
      <c r="J31" s="386"/>
      <c r="K31" s="386"/>
      <c r="L31" s="386"/>
      <c r="M31" s="387"/>
      <c r="N31" s="386"/>
      <c r="O31" s="386"/>
      <c r="P31" s="386"/>
      <c r="Q31" s="386"/>
      <c r="R31" s="386"/>
      <c r="S31" s="388"/>
    </row>
  </sheetData>
  <mergeCells count="42">
    <mergeCell ref="A1:S1"/>
    <mergeCell ref="A2:E7"/>
    <mergeCell ref="H2:I2"/>
    <mergeCell ref="J2:L2"/>
    <mergeCell ref="M2:N2"/>
    <mergeCell ref="O2:Q2"/>
    <mergeCell ref="R2:S7"/>
    <mergeCell ref="H3:I3"/>
    <mergeCell ref="J3:L3"/>
    <mergeCell ref="M3:N3"/>
    <mergeCell ref="O3:Q3"/>
    <mergeCell ref="H4:I4"/>
    <mergeCell ref="J4:L4"/>
    <mergeCell ref="M4:N4"/>
    <mergeCell ref="O4:Q4"/>
    <mergeCell ref="H6:I6"/>
    <mergeCell ref="J6:L6"/>
    <mergeCell ref="M6:N6"/>
    <mergeCell ref="O6:Q6"/>
    <mergeCell ref="H5:I5"/>
    <mergeCell ref="J5:L5"/>
    <mergeCell ref="M5:N5"/>
    <mergeCell ref="O5:Q5"/>
    <mergeCell ref="H7:I7"/>
    <mergeCell ref="J7:L7"/>
    <mergeCell ref="M7:N7"/>
    <mergeCell ref="O7:Q7"/>
    <mergeCell ref="A8:S8"/>
    <mergeCell ref="A9:E9"/>
    <mergeCell ref="G9:S9"/>
    <mergeCell ref="A10:B12"/>
    <mergeCell ref="C10:C12"/>
    <mergeCell ref="E10:E12"/>
    <mergeCell ref="G11:G12"/>
    <mergeCell ref="H11:H12"/>
    <mergeCell ref="I11:I12"/>
    <mergeCell ref="J11:J12"/>
    <mergeCell ref="K11:K12"/>
    <mergeCell ref="M11:M12"/>
    <mergeCell ref="O11:O12"/>
    <mergeCell ref="Q11:Q12"/>
    <mergeCell ref="S11:S12"/>
  </mergeCells>
  <printOptions horizontalCentered="1" verticalCentered="1"/>
  <pageMargins left="0.25" right="0.25" top="0.75" bottom="0.75" header="0.3" footer="0.3"/>
  <pageSetup scale="42" fitToHeight="3" orientation="landscape" r:id="rId1"/>
  <headerFooter>
    <oddHeader xml:space="preserve">&amp;L TOP _ LS&amp;R7/21/23 UPDATED / JIAO
</oddHeader>
    <oddFooter>&amp;L&amp;F&amp;C&amp;A&amp;R&amp;D&amp;T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W170"/>
  <sheetViews>
    <sheetView view="pageBreakPreview" topLeftCell="A11" zoomScale="40" zoomScaleNormal="55" zoomScaleSheetLayoutView="40" zoomScalePageLayoutView="40" workbookViewId="0">
      <selection activeCell="G28" sqref="G28:L28"/>
    </sheetView>
  </sheetViews>
  <sheetFormatPr defaultColWidth="9.1796875" defaultRowHeight="16.5"/>
  <cols>
    <col min="1" max="1" width="8.453125" style="65" customWidth="1"/>
    <col min="2" max="2" width="24.54296875" style="65" customWidth="1"/>
    <col min="3" max="3" width="26" style="65" customWidth="1"/>
    <col min="4" max="4" width="22.54296875" style="65" customWidth="1"/>
    <col min="5" max="5" width="26.1796875" style="65" customWidth="1"/>
    <col min="6" max="6" width="18" style="65" customWidth="1"/>
    <col min="7" max="7" width="17.81640625" style="66" customWidth="1"/>
    <col min="8" max="8" width="16" style="65" customWidth="1"/>
    <col min="9" max="9" width="18.54296875" style="65" customWidth="1"/>
    <col min="10" max="10" width="16" style="65" customWidth="1"/>
    <col min="11" max="11" width="19" style="65" customWidth="1"/>
    <col min="12" max="12" width="18.81640625" style="65" customWidth="1"/>
    <col min="13" max="13" width="14.1796875" style="65" customWidth="1"/>
    <col min="14" max="15" width="13.453125" style="65" customWidth="1"/>
    <col min="16" max="16" width="20.81640625" style="65" customWidth="1"/>
    <col min="17" max="17" width="15" style="65" bestFit="1" customWidth="1"/>
    <col min="18" max="21" width="11.1796875" style="65" bestFit="1" customWidth="1"/>
    <col min="22" max="22" width="9.1796875" style="65" bestFit="1" customWidth="1"/>
    <col min="23" max="23" width="16.453125" style="65" bestFit="1" customWidth="1"/>
    <col min="24" max="16384" width="9.1796875" style="65"/>
  </cols>
  <sheetData>
    <row r="1" spans="1:16" s="4" customFormat="1" ht="29.5" customHeight="1">
      <c r="A1" s="96"/>
      <c r="B1" s="96"/>
      <c r="C1" s="96"/>
      <c r="D1" s="97"/>
      <c r="E1" s="96"/>
      <c r="F1" s="96"/>
      <c r="G1" s="96"/>
      <c r="H1" s="96"/>
      <c r="I1" s="96"/>
      <c r="J1" s="96"/>
      <c r="K1" s="96"/>
      <c r="L1" s="98"/>
      <c r="M1" s="507" t="s">
        <v>0</v>
      </c>
      <c r="N1" s="507" t="s">
        <v>0</v>
      </c>
      <c r="O1" s="657" t="s">
        <v>1</v>
      </c>
      <c r="P1" s="657"/>
    </row>
    <row r="2" spans="1:16" s="4" customFormat="1" ht="29.5" customHeight="1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  <c r="L2" s="98"/>
      <c r="M2" s="507" t="s">
        <v>2</v>
      </c>
      <c r="N2" s="507" t="s">
        <v>2</v>
      </c>
      <c r="O2" s="658" t="s">
        <v>3</v>
      </c>
      <c r="P2" s="658"/>
    </row>
    <row r="3" spans="1:16" s="4" customFormat="1" ht="29.5" customHeight="1">
      <c r="A3" s="96"/>
      <c r="B3" s="96"/>
      <c r="C3" s="96"/>
      <c r="D3" s="96"/>
      <c r="E3" s="96"/>
      <c r="F3" s="96"/>
      <c r="G3" s="96"/>
      <c r="H3" s="96"/>
      <c r="I3" s="96"/>
      <c r="J3" s="96"/>
      <c r="K3" s="96"/>
      <c r="L3" s="98"/>
      <c r="M3" s="507" t="s">
        <v>4</v>
      </c>
      <c r="N3" s="507" t="s">
        <v>4</v>
      </c>
      <c r="O3" s="659" t="s">
        <v>5</v>
      </c>
      <c r="P3" s="657"/>
    </row>
    <row r="4" spans="1:16" s="5" customFormat="1" ht="39.65" customHeight="1" thickBot="1">
      <c r="B4" s="6" t="s">
        <v>257</v>
      </c>
      <c r="G4" s="7"/>
    </row>
    <row r="5" spans="1:16" s="5" customFormat="1" ht="38.15" customHeight="1">
      <c r="B5" s="8" t="s">
        <v>7</v>
      </c>
      <c r="C5" s="8"/>
      <c r="D5" s="6"/>
      <c r="F5" s="9"/>
      <c r="G5" s="673" t="s">
        <v>258</v>
      </c>
      <c r="H5" s="674"/>
      <c r="I5" s="674"/>
      <c r="J5" s="674"/>
      <c r="K5" s="674"/>
      <c r="L5" s="675"/>
    </row>
    <row r="6" spans="1:16" s="10" customFormat="1" ht="38.15" customHeight="1">
      <c r="B6" s="11" t="s">
        <v>9</v>
      </c>
      <c r="C6" s="11"/>
      <c r="D6" s="12" t="s">
        <v>259</v>
      </c>
      <c r="E6" s="134"/>
      <c r="F6" s="11"/>
      <c r="G6" s="676"/>
      <c r="H6" s="677"/>
      <c r="I6" s="677"/>
      <c r="J6" s="677"/>
      <c r="K6" s="677"/>
      <c r="L6" s="678"/>
      <c r="M6" s="13"/>
      <c r="N6" s="13"/>
      <c r="O6" s="13"/>
      <c r="P6" s="13"/>
    </row>
    <row r="7" spans="1:16" s="10" customFormat="1" ht="38.15" customHeight="1">
      <c r="B7" s="11" t="s">
        <v>11</v>
      </c>
      <c r="C7" s="11"/>
      <c r="D7" s="12" t="s">
        <v>260</v>
      </c>
      <c r="E7" s="12"/>
      <c r="F7" s="11"/>
      <c r="G7" s="676"/>
      <c r="H7" s="677"/>
      <c r="I7" s="677"/>
      <c r="J7" s="677"/>
      <c r="K7" s="677"/>
      <c r="L7" s="678"/>
      <c r="M7" s="13"/>
      <c r="N7" s="13"/>
      <c r="O7" s="13"/>
      <c r="P7" s="13"/>
    </row>
    <row r="8" spans="1:16" s="10" customFormat="1" ht="38.15" customHeight="1" thickBot="1">
      <c r="B8" s="11" t="s">
        <v>13</v>
      </c>
      <c r="C8" s="11"/>
      <c r="D8" s="167" t="s">
        <v>261</v>
      </c>
      <c r="E8" s="142"/>
      <c r="F8" s="142"/>
      <c r="G8" s="679"/>
      <c r="H8" s="680"/>
      <c r="I8" s="680"/>
      <c r="J8" s="680"/>
      <c r="K8" s="680"/>
      <c r="L8" s="681"/>
      <c r="M8" s="13"/>
      <c r="N8" s="13"/>
      <c r="O8" s="13"/>
      <c r="P8" s="13"/>
    </row>
    <row r="9" spans="1:16" s="14" customFormat="1" ht="39">
      <c r="B9" s="15" t="s">
        <v>15</v>
      </c>
      <c r="C9" s="15"/>
      <c r="D9" s="153" t="s">
        <v>262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16" s="14" customFormat="1" ht="32.5">
      <c r="B10" s="445" t="s">
        <v>17</v>
      </c>
      <c r="C10" s="445"/>
      <c r="D10" s="446" t="s">
        <v>263</v>
      </c>
      <c r="E10" s="446"/>
      <c r="F10" s="446"/>
      <c r="G10" s="447"/>
      <c r="H10" s="446"/>
      <c r="I10" s="448"/>
      <c r="J10" s="448" t="s">
        <v>19</v>
      </c>
      <c r="K10" s="448"/>
      <c r="L10" s="448" t="s">
        <v>264</v>
      </c>
      <c r="M10" s="449"/>
      <c r="N10" s="449"/>
      <c r="O10" s="449"/>
      <c r="P10" s="449"/>
    </row>
    <row r="11" spans="1:16" s="14" customFormat="1" ht="60.65" customHeight="1">
      <c r="B11" s="448" t="s">
        <v>21</v>
      </c>
      <c r="C11" s="448"/>
      <c r="D11" s="450"/>
      <c r="E11" s="451"/>
      <c r="F11" s="451"/>
      <c r="G11" s="452"/>
      <c r="H11" s="453"/>
      <c r="I11" s="448"/>
      <c r="J11" s="448" t="s">
        <v>22</v>
      </c>
      <c r="K11" s="448"/>
      <c r="L11" s="682" t="s">
        <v>265</v>
      </c>
      <c r="M11" s="682"/>
      <c r="N11" s="682"/>
      <c r="O11" s="682"/>
      <c r="P11" s="682"/>
    </row>
    <row r="12" spans="1:16" s="14" customFormat="1" ht="32.5">
      <c r="B12" s="448" t="s">
        <v>24</v>
      </c>
      <c r="C12" s="448"/>
      <c r="D12" s="454"/>
      <c r="E12" s="448"/>
      <c r="F12" s="448"/>
      <c r="G12" s="455"/>
      <c r="H12" s="456"/>
      <c r="I12" s="448"/>
      <c r="J12" s="457" t="s">
        <v>25</v>
      </c>
      <c r="L12" s="448" t="s">
        <v>266</v>
      </c>
      <c r="M12" s="448"/>
      <c r="N12" s="456"/>
      <c r="O12" s="456"/>
      <c r="P12" s="449"/>
    </row>
    <row r="13" spans="1:16" s="14" customFormat="1" ht="32.5">
      <c r="B13" s="670"/>
      <c r="C13" s="670"/>
      <c r="D13" s="670"/>
      <c r="E13" s="670"/>
      <c r="F13" s="670"/>
      <c r="G13" s="455"/>
      <c r="H13" s="456"/>
      <c r="I13" s="448"/>
      <c r="J13" s="448" t="s">
        <v>27</v>
      </c>
      <c r="K13" s="448"/>
      <c r="L13" s="448" t="s">
        <v>267</v>
      </c>
      <c r="M13" s="456"/>
      <c r="N13" s="449"/>
      <c r="O13" s="449"/>
      <c r="P13" s="456"/>
    </row>
    <row r="14" spans="1:16" s="14" customFormat="1" ht="32.5">
      <c r="B14" s="448" t="s">
        <v>29</v>
      </c>
      <c r="C14" s="448"/>
      <c r="D14" s="448" t="s">
        <v>30</v>
      </c>
      <c r="E14" s="448"/>
      <c r="F14" s="448"/>
      <c r="G14" s="458"/>
      <c r="H14" s="448"/>
      <c r="I14" s="448"/>
      <c r="J14" s="448" t="s">
        <v>31</v>
      </c>
      <c r="K14" s="448"/>
      <c r="L14" s="449" t="s">
        <v>268</v>
      </c>
      <c r="M14" s="449"/>
      <c r="N14" s="449"/>
      <c r="O14" s="449"/>
      <c r="P14" s="449"/>
    </row>
    <row r="15" spans="1:16" s="14" customFormat="1" ht="21" customHeight="1">
      <c r="B15" s="19" t="s">
        <v>33</v>
      </c>
      <c r="C15" s="19"/>
      <c r="D15" s="19"/>
      <c r="E15" s="15"/>
      <c r="F15" s="15"/>
      <c r="G15" s="20"/>
      <c r="H15" s="15"/>
      <c r="I15" s="15"/>
      <c r="J15" s="15"/>
      <c r="K15" s="15"/>
      <c r="L15" s="15"/>
      <c r="M15" s="15"/>
      <c r="N15" s="15"/>
      <c r="O15" s="15"/>
      <c r="P15" s="15"/>
    </row>
    <row r="16" spans="1:16" s="21" customFormat="1" ht="18.75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</row>
    <row r="17" spans="2:22" s="5" customFormat="1" ht="35.5" customHeight="1">
      <c r="B17" s="23"/>
      <c r="C17" s="126" t="s">
        <v>34</v>
      </c>
      <c r="D17" s="126" t="s">
        <v>35</v>
      </c>
      <c r="E17" s="24" t="s">
        <v>36</v>
      </c>
      <c r="F17" s="24"/>
      <c r="G17" s="24" t="s">
        <v>255</v>
      </c>
      <c r="H17" s="24" t="s">
        <v>37</v>
      </c>
      <c r="I17" s="24" t="s">
        <v>38</v>
      </c>
      <c r="J17" s="24" t="s">
        <v>39</v>
      </c>
      <c r="K17" s="24" t="s">
        <v>40</v>
      </c>
      <c r="L17" s="24" t="s">
        <v>41</v>
      </c>
      <c r="M17" s="24"/>
      <c r="N17" s="24"/>
      <c r="O17" s="24"/>
      <c r="P17" s="128" t="s">
        <v>43</v>
      </c>
    </row>
    <row r="18" spans="2:22" s="5" customFormat="1" ht="35.5" customHeight="1">
      <c r="B18" s="127" t="s">
        <v>44</v>
      </c>
      <c r="C18" s="25"/>
      <c r="D18" s="26" t="s">
        <v>269</v>
      </c>
      <c r="E18" s="27"/>
      <c r="F18" s="28"/>
      <c r="G18" s="28">
        <v>13</v>
      </c>
      <c r="H18" s="28">
        <v>77</v>
      </c>
      <c r="I18" s="28">
        <v>95</v>
      </c>
      <c r="J18" s="28">
        <v>68</v>
      </c>
      <c r="K18" s="28">
        <v>41</v>
      </c>
      <c r="L18" s="28">
        <v>6</v>
      </c>
      <c r="M18" s="28"/>
      <c r="N18" s="28"/>
      <c r="O18" s="28"/>
      <c r="P18" s="29">
        <f>SUM(G18:O18)</f>
        <v>300</v>
      </c>
      <c r="Q18" s="195">
        <v>13</v>
      </c>
      <c r="R18" s="195">
        <v>77</v>
      </c>
      <c r="S18" s="195">
        <v>95</v>
      </c>
      <c r="T18" s="195">
        <v>68</v>
      </c>
      <c r="U18" s="195">
        <v>41</v>
      </c>
      <c r="V18" s="195">
        <v>6</v>
      </c>
    </row>
    <row r="19" spans="2:22" s="5" customFormat="1" ht="35.5" customHeight="1">
      <c r="B19" s="127" t="s">
        <v>46</v>
      </c>
      <c r="C19" s="25"/>
      <c r="D19" s="27" t="str">
        <f>D18</f>
        <v xml:space="preserve">DARKEST BLACK       </v>
      </c>
      <c r="E19" s="27"/>
      <c r="F19" s="28"/>
      <c r="G19" s="28">
        <f>ROUNDUP(G18*5%,0)</f>
        <v>1</v>
      </c>
      <c r="H19" s="28">
        <f t="shared" ref="H19:K19" si="0">ROUNDUP(H18*5%,0)</f>
        <v>4</v>
      </c>
      <c r="I19" s="28">
        <f>ROUNDUP(I18*5%,0)+1</f>
        <v>6</v>
      </c>
      <c r="J19" s="28">
        <f t="shared" si="0"/>
        <v>4</v>
      </c>
      <c r="K19" s="28">
        <f t="shared" si="0"/>
        <v>3</v>
      </c>
      <c r="L19" s="28">
        <f>ROUNDUP(L18*5%,0)</f>
        <v>1</v>
      </c>
      <c r="M19" s="28"/>
      <c r="N19" s="28"/>
      <c r="O19" s="28"/>
      <c r="P19" s="29">
        <f>SUM(G19:O19)</f>
        <v>19</v>
      </c>
    </row>
    <row r="20" spans="2:22" s="6" customFormat="1" ht="35.5" customHeight="1">
      <c r="B20" s="130" t="s">
        <v>47</v>
      </c>
      <c r="C20" s="130"/>
      <c r="D20" s="133" t="str">
        <f>D18</f>
        <v xml:space="preserve">DARKEST BLACK       </v>
      </c>
      <c r="E20" s="131"/>
      <c r="F20" s="132"/>
      <c r="G20" s="132">
        <f>G18+G19</f>
        <v>14</v>
      </c>
      <c r="H20" s="132">
        <f t="shared" ref="H20:L20" si="1">H18+H19</f>
        <v>81</v>
      </c>
      <c r="I20" s="132">
        <f t="shared" si="1"/>
        <v>101</v>
      </c>
      <c r="J20" s="132">
        <f t="shared" si="1"/>
        <v>72</v>
      </c>
      <c r="K20" s="132">
        <f t="shared" si="1"/>
        <v>44</v>
      </c>
      <c r="L20" s="132">
        <f t="shared" si="1"/>
        <v>7</v>
      </c>
      <c r="M20" s="132"/>
      <c r="N20" s="132"/>
      <c r="O20" s="132"/>
      <c r="P20" s="132">
        <f>SUM(G20:O20)</f>
        <v>319</v>
      </c>
    </row>
    <row r="21" spans="2:22" s="5" customFormat="1" ht="34.5" customHeight="1">
      <c r="B21" s="12"/>
      <c r="C21" s="12"/>
      <c r="D21" s="12"/>
      <c r="E21" s="30"/>
      <c r="F21" s="30"/>
      <c r="G21" s="31"/>
      <c r="H21" s="30"/>
      <c r="I21" s="30"/>
      <c r="J21" s="30"/>
      <c r="K21" s="30"/>
      <c r="L21" s="30"/>
      <c r="M21" s="32"/>
      <c r="N21" s="33"/>
      <c r="O21" s="33"/>
      <c r="P21" s="34"/>
    </row>
    <row r="22" spans="2:22" s="5" customFormat="1" ht="35.5" customHeight="1">
      <c r="B22" s="23"/>
      <c r="C22" s="126" t="s">
        <v>34</v>
      </c>
      <c r="D22" s="126" t="s">
        <v>35</v>
      </c>
      <c r="E22" s="24" t="s">
        <v>36</v>
      </c>
      <c r="F22" s="24"/>
      <c r="G22" s="24" t="s">
        <v>255</v>
      </c>
      <c r="H22" s="24" t="s">
        <v>37</v>
      </c>
      <c r="I22" s="24" t="s">
        <v>38</v>
      </c>
      <c r="J22" s="24" t="s">
        <v>39</v>
      </c>
      <c r="K22" s="24" t="s">
        <v>40</v>
      </c>
      <c r="L22" s="24" t="s">
        <v>41</v>
      </c>
      <c r="M22" s="24"/>
      <c r="N22" s="24"/>
      <c r="O22" s="24"/>
      <c r="P22" s="128" t="s">
        <v>43</v>
      </c>
    </row>
    <row r="23" spans="2:22" s="5" customFormat="1" ht="35.5" customHeight="1">
      <c r="B23" s="127" t="s">
        <v>44</v>
      </c>
      <c r="C23" s="25"/>
      <c r="D23" s="26" t="s">
        <v>270</v>
      </c>
      <c r="E23" s="27"/>
      <c r="F23" s="28"/>
      <c r="G23" s="28">
        <v>14</v>
      </c>
      <c r="H23" s="28">
        <v>77</v>
      </c>
      <c r="I23" s="28">
        <v>95</v>
      </c>
      <c r="J23" s="28">
        <v>68</v>
      </c>
      <c r="K23" s="28">
        <v>40</v>
      </c>
      <c r="L23" s="28">
        <v>6</v>
      </c>
      <c r="M23" s="28"/>
      <c r="N23" s="28"/>
      <c r="O23" s="28"/>
      <c r="P23" s="29">
        <f>SUM(G23:O23)</f>
        <v>300</v>
      </c>
      <c r="Q23" s="196">
        <v>14</v>
      </c>
      <c r="R23" s="196">
        <v>77</v>
      </c>
      <c r="S23" s="196">
        <v>95</v>
      </c>
      <c r="T23" s="196">
        <v>68</v>
      </c>
      <c r="U23" s="196">
        <v>40</v>
      </c>
      <c r="V23" s="196">
        <v>6</v>
      </c>
    </row>
    <row r="24" spans="2:22" s="5" customFormat="1" ht="35.5" customHeight="1">
      <c r="B24" s="127" t="s">
        <v>46</v>
      </c>
      <c r="C24" s="25"/>
      <c r="D24" s="27" t="str">
        <f>D23</f>
        <v xml:space="preserve">HYPER LILAC         </v>
      </c>
      <c r="E24" s="27"/>
      <c r="F24" s="28"/>
      <c r="G24" s="28">
        <f>ROUNDUP(G23*5%,0)</f>
        <v>1</v>
      </c>
      <c r="H24" s="28">
        <f t="shared" ref="H24:K24" si="2">ROUNDUP(H23*5%,0)</f>
        <v>4</v>
      </c>
      <c r="I24" s="28">
        <f>ROUNDUP(I23*5%,0)+1</f>
        <v>6</v>
      </c>
      <c r="J24" s="28">
        <f t="shared" si="2"/>
        <v>4</v>
      </c>
      <c r="K24" s="28">
        <f t="shared" si="2"/>
        <v>2</v>
      </c>
      <c r="L24" s="28">
        <f>ROUNDUP(L23*5%,0)</f>
        <v>1</v>
      </c>
      <c r="M24" s="28"/>
      <c r="N24" s="28"/>
      <c r="O24" s="28"/>
      <c r="P24" s="29">
        <f>SUM(G24:O24)</f>
        <v>18</v>
      </c>
    </row>
    <row r="25" spans="2:22" s="6" customFormat="1" ht="35.5" customHeight="1">
      <c r="B25" s="130" t="s">
        <v>47</v>
      </c>
      <c r="C25" s="130"/>
      <c r="D25" s="133" t="str">
        <f>D23</f>
        <v xml:space="preserve">HYPER LILAC         </v>
      </c>
      <c r="E25" s="131"/>
      <c r="F25" s="132"/>
      <c r="G25" s="132">
        <f>G23+G24</f>
        <v>15</v>
      </c>
      <c r="H25" s="132">
        <f t="shared" ref="H25" si="3">H23+H24</f>
        <v>81</v>
      </c>
      <c r="I25" s="132">
        <f t="shared" ref="I25" si="4">I23+I24</f>
        <v>101</v>
      </c>
      <c r="J25" s="132">
        <f t="shared" ref="J25" si="5">J23+J24</f>
        <v>72</v>
      </c>
      <c r="K25" s="132">
        <f t="shared" ref="K25" si="6">K23+K24</f>
        <v>42</v>
      </c>
      <c r="L25" s="132">
        <f t="shared" ref="L25" si="7">L23+L24</f>
        <v>7</v>
      </c>
      <c r="M25" s="132"/>
      <c r="N25" s="132"/>
      <c r="O25" s="132"/>
      <c r="P25" s="132">
        <f>SUM(G25:O25)</f>
        <v>318</v>
      </c>
    </row>
    <row r="26" spans="2:22" s="5" customFormat="1" ht="34.5" customHeight="1">
      <c r="B26" s="12"/>
      <c r="C26" s="12"/>
      <c r="D26" s="12"/>
      <c r="E26" s="30"/>
      <c r="F26" s="30"/>
      <c r="G26" s="31"/>
      <c r="H26" s="30"/>
      <c r="I26" s="30"/>
      <c r="J26" s="30"/>
      <c r="K26" s="30"/>
      <c r="L26" s="30"/>
      <c r="M26" s="32"/>
      <c r="N26" s="33"/>
      <c r="O26" s="33"/>
      <c r="P26" s="34"/>
    </row>
    <row r="27" spans="2:22" s="5" customFormat="1" ht="35.5" customHeight="1">
      <c r="B27" s="23"/>
      <c r="C27" s="126" t="s">
        <v>34</v>
      </c>
      <c r="D27" s="126" t="s">
        <v>35</v>
      </c>
      <c r="E27" s="24" t="s">
        <v>36</v>
      </c>
      <c r="F27" s="24"/>
      <c r="G27" s="24" t="s">
        <v>255</v>
      </c>
      <c r="H27" s="24" t="s">
        <v>37</v>
      </c>
      <c r="I27" s="24" t="s">
        <v>38</v>
      </c>
      <c r="J27" s="24" t="s">
        <v>39</v>
      </c>
      <c r="K27" s="24" t="s">
        <v>40</v>
      </c>
      <c r="L27" s="24" t="s">
        <v>41</v>
      </c>
      <c r="M27" s="24"/>
      <c r="N27" s="24"/>
      <c r="O27" s="24"/>
      <c r="P27" s="128" t="s">
        <v>43</v>
      </c>
    </row>
    <row r="28" spans="2:22" s="5" customFormat="1" ht="35.5" customHeight="1">
      <c r="B28" s="127" t="s">
        <v>44</v>
      </c>
      <c r="C28" s="25"/>
      <c r="D28" s="26" t="s">
        <v>271</v>
      </c>
      <c r="E28" s="27"/>
      <c r="F28" s="28"/>
      <c r="G28" s="28">
        <v>13</v>
      </c>
      <c r="H28" s="28">
        <v>77</v>
      </c>
      <c r="I28" s="28">
        <v>95</v>
      </c>
      <c r="J28" s="28">
        <v>68</v>
      </c>
      <c r="K28" s="28">
        <v>41</v>
      </c>
      <c r="L28" s="28">
        <v>6</v>
      </c>
      <c r="M28" s="28"/>
      <c r="N28" s="28"/>
      <c r="O28" s="28"/>
      <c r="P28" s="29">
        <f>SUM(G28:O28)</f>
        <v>300</v>
      </c>
      <c r="Q28" s="195">
        <v>13</v>
      </c>
      <c r="R28" s="195">
        <v>77</v>
      </c>
      <c r="S28" s="195">
        <v>95</v>
      </c>
      <c r="T28" s="195">
        <v>68</v>
      </c>
      <c r="U28" s="195">
        <v>41</v>
      </c>
      <c r="V28" s="195">
        <v>6</v>
      </c>
    </row>
    <row r="29" spans="2:22" s="5" customFormat="1" ht="35.5" customHeight="1">
      <c r="B29" s="127" t="s">
        <v>46</v>
      </c>
      <c r="C29" s="25"/>
      <c r="D29" s="27" t="str">
        <f>D28</f>
        <v xml:space="preserve">ATOMIC BLASTER      </v>
      </c>
      <c r="E29" s="27"/>
      <c r="F29" s="28"/>
      <c r="G29" s="28">
        <f>ROUNDUP(G28*5%,0)</f>
        <v>1</v>
      </c>
      <c r="H29" s="28">
        <f t="shared" ref="H29:K29" si="8">ROUNDUP(H28*5%,0)</f>
        <v>4</v>
      </c>
      <c r="I29" s="28">
        <f>ROUNDUP(I28*5%,0)+1</f>
        <v>6</v>
      </c>
      <c r="J29" s="28">
        <f t="shared" si="8"/>
        <v>4</v>
      </c>
      <c r="K29" s="28">
        <f t="shared" si="8"/>
        <v>3</v>
      </c>
      <c r="L29" s="28">
        <f>ROUNDUP(L28*5%,0)</f>
        <v>1</v>
      </c>
      <c r="M29" s="28"/>
      <c r="N29" s="28"/>
      <c r="O29" s="28"/>
      <c r="P29" s="29">
        <f>SUM(G29:O29)</f>
        <v>19</v>
      </c>
    </row>
    <row r="30" spans="2:22" s="6" customFormat="1" ht="35.5" customHeight="1">
      <c r="B30" s="130" t="s">
        <v>47</v>
      </c>
      <c r="C30" s="130"/>
      <c r="D30" s="133" t="str">
        <f>D28</f>
        <v xml:space="preserve">ATOMIC BLASTER      </v>
      </c>
      <c r="E30" s="131"/>
      <c r="F30" s="132"/>
      <c r="G30" s="132">
        <f>G28+G29</f>
        <v>14</v>
      </c>
      <c r="H30" s="132">
        <f t="shared" ref="H30" si="9">H28+H29</f>
        <v>81</v>
      </c>
      <c r="I30" s="132">
        <f t="shared" ref="I30" si="10">I28+I29</f>
        <v>101</v>
      </c>
      <c r="J30" s="132">
        <f t="shared" ref="J30" si="11">J28+J29</f>
        <v>72</v>
      </c>
      <c r="K30" s="132">
        <f t="shared" ref="K30" si="12">K28+K29</f>
        <v>44</v>
      </c>
      <c r="L30" s="132">
        <f t="shared" ref="L30" si="13">L28+L29</f>
        <v>7</v>
      </c>
      <c r="M30" s="132"/>
      <c r="N30" s="132"/>
      <c r="O30" s="132"/>
      <c r="P30" s="132">
        <f>SUM(G30:O30)</f>
        <v>319</v>
      </c>
    </row>
    <row r="31" spans="2:22" s="5" customFormat="1" ht="34.5" customHeight="1">
      <c r="B31" s="12"/>
      <c r="C31" s="12"/>
      <c r="D31" s="12"/>
      <c r="E31" s="30"/>
      <c r="F31" s="30"/>
      <c r="G31" s="31"/>
      <c r="H31" s="30"/>
      <c r="I31" s="30"/>
      <c r="J31" s="30"/>
      <c r="K31" s="30"/>
      <c r="L31" s="30"/>
      <c r="M31" s="32"/>
      <c r="N31" s="33"/>
      <c r="O31" s="33"/>
      <c r="P31" s="34"/>
    </row>
    <row r="32" spans="2:22" s="5" customFormat="1" ht="35.5" customHeight="1">
      <c r="B32" s="23"/>
      <c r="C32" s="126" t="s">
        <v>34</v>
      </c>
      <c r="D32" s="126" t="s">
        <v>35</v>
      </c>
      <c r="E32" s="24" t="s">
        <v>36</v>
      </c>
      <c r="F32" s="24"/>
      <c r="G32" s="24" t="s">
        <v>255</v>
      </c>
      <c r="H32" s="24" t="s">
        <v>37</v>
      </c>
      <c r="I32" s="24" t="s">
        <v>38</v>
      </c>
      <c r="J32" s="24" t="s">
        <v>39</v>
      </c>
      <c r="K32" s="24" t="s">
        <v>40</v>
      </c>
      <c r="L32" s="24" t="s">
        <v>41</v>
      </c>
      <c r="M32" s="24"/>
      <c r="N32" s="24"/>
      <c r="O32" s="24"/>
      <c r="P32" s="128" t="s">
        <v>43</v>
      </c>
    </row>
    <row r="33" spans="1:23" s="5" customFormat="1" ht="35.5" customHeight="1">
      <c r="B33" s="127" t="s">
        <v>44</v>
      </c>
      <c r="C33" s="25"/>
      <c r="D33" s="26" t="s">
        <v>272</v>
      </c>
      <c r="E33" s="27"/>
      <c r="F33" s="28"/>
      <c r="G33" s="28">
        <v>14</v>
      </c>
      <c r="H33" s="28">
        <v>77</v>
      </c>
      <c r="I33" s="28">
        <v>95</v>
      </c>
      <c r="J33" s="28">
        <v>68</v>
      </c>
      <c r="K33" s="28">
        <v>40</v>
      </c>
      <c r="L33" s="28">
        <v>6</v>
      </c>
      <c r="M33" s="28"/>
      <c r="N33" s="28"/>
      <c r="O33" s="28"/>
      <c r="P33" s="29">
        <f>SUM(G33:O33)</f>
        <v>300</v>
      </c>
      <c r="Q33" s="196">
        <v>14</v>
      </c>
      <c r="R33" s="196">
        <v>77</v>
      </c>
      <c r="S33" s="196">
        <v>95</v>
      </c>
      <c r="T33" s="196">
        <v>68</v>
      </c>
      <c r="U33" s="196">
        <v>40</v>
      </c>
      <c r="V33" s="196">
        <v>6</v>
      </c>
    </row>
    <row r="34" spans="1:23" s="5" customFormat="1" ht="35.5" customHeight="1">
      <c r="B34" s="127" t="s">
        <v>46</v>
      </c>
      <c r="C34" s="25"/>
      <c r="D34" s="27" t="str">
        <f>D33</f>
        <v xml:space="preserve">OPTIC WHITE         </v>
      </c>
      <c r="E34" s="27"/>
      <c r="F34" s="28"/>
      <c r="G34" s="28">
        <f>ROUNDUP(G33*5%,0)</f>
        <v>1</v>
      </c>
      <c r="H34" s="28">
        <f t="shared" ref="H34:K34" si="14">ROUNDUP(H33*5%,0)</f>
        <v>4</v>
      </c>
      <c r="I34" s="28">
        <f>ROUNDUP(I33*5%,0)+1</f>
        <v>6</v>
      </c>
      <c r="J34" s="28">
        <f t="shared" si="14"/>
        <v>4</v>
      </c>
      <c r="K34" s="28">
        <f t="shared" si="14"/>
        <v>2</v>
      </c>
      <c r="L34" s="28">
        <f>ROUNDUP(L33*5%,0)</f>
        <v>1</v>
      </c>
      <c r="M34" s="28"/>
      <c r="N34" s="28"/>
      <c r="O34" s="28"/>
      <c r="P34" s="29">
        <f>SUM(G34:O34)</f>
        <v>18</v>
      </c>
    </row>
    <row r="35" spans="1:23" s="6" customFormat="1" ht="35.5" customHeight="1">
      <c r="B35" s="130" t="s">
        <v>47</v>
      </c>
      <c r="C35" s="130"/>
      <c r="D35" s="133" t="str">
        <f>D33</f>
        <v xml:space="preserve">OPTIC WHITE         </v>
      </c>
      <c r="E35" s="131"/>
      <c r="F35" s="132"/>
      <c r="G35" s="132">
        <f>G33+G34</f>
        <v>15</v>
      </c>
      <c r="H35" s="132">
        <f t="shared" ref="H35" si="15">H33+H34</f>
        <v>81</v>
      </c>
      <c r="I35" s="132">
        <f t="shared" ref="I35" si="16">I33+I34</f>
        <v>101</v>
      </c>
      <c r="J35" s="132">
        <f t="shared" ref="J35" si="17">J33+J34</f>
        <v>72</v>
      </c>
      <c r="K35" s="132">
        <f t="shared" ref="K35" si="18">K33+K34</f>
        <v>42</v>
      </c>
      <c r="L35" s="132">
        <f t="shared" ref="L35" si="19">L33+L34</f>
        <v>7</v>
      </c>
      <c r="M35" s="132"/>
      <c r="N35" s="132"/>
      <c r="O35" s="132"/>
      <c r="P35" s="132">
        <f>SUM(G35:O35)</f>
        <v>318</v>
      </c>
    </row>
    <row r="36" spans="1:23" s="5" customFormat="1" ht="34.5" customHeight="1">
      <c r="B36" s="12"/>
      <c r="C36" s="12"/>
      <c r="D36" s="12"/>
      <c r="E36" s="30"/>
      <c r="F36" s="30"/>
      <c r="G36" s="31"/>
      <c r="H36" s="30"/>
      <c r="I36" s="30"/>
      <c r="J36" s="30"/>
      <c r="K36" s="30"/>
      <c r="L36" s="30"/>
      <c r="M36" s="32"/>
      <c r="N36" s="33"/>
      <c r="O36" s="33"/>
      <c r="P36" s="34"/>
    </row>
    <row r="37" spans="1:23" s="35" customFormat="1" ht="42.75" customHeight="1">
      <c r="B37" s="118" t="s">
        <v>50</v>
      </c>
      <c r="C37" s="119"/>
      <c r="D37" s="118"/>
      <c r="E37" s="120"/>
      <c r="F37" s="121"/>
      <c r="G37" s="121">
        <f>SUM(G20,G25,G30,G35)</f>
        <v>58</v>
      </c>
      <c r="H37" s="121">
        <f t="shared" ref="H37:L37" si="20">SUM(H20,H25,H30,H35)</f>
        <v>324</v>
      </c>
      <c r="I37" s="121">
        <f t="shared" si="20"/>
        <v>404</v>
      </c>
      <c r="J37" s="121">
        <f t="shared" si="20"/>
        <v>288</v>
      </c>
      <c r="K37" s="121">
        <f t="shared" si="20"/>
        <v>172</v>
      </c>
      <c r="L37" s="121">
        <f t="shared" si="20"/>
        <v>28</v>
      </c>
      <c r="M37" s="121"/>
      <c r="N37" s="121"/>
      <c r="O37" s="121"/>
      <c r="P37" s="121">
        <f>SUM(P20,P25,P30,P35)</f>
        <v>1274</v>
      </c>
      <c r="Q37" s="6">
        <f>SUM(Q3:Q36)</f>
        <v>54</v>
      </c>
      <c r="R37" s="6">
        <f t="shared" ref="R37:V37" si="21">SUM(R3:R36)</f>
        <v>308</v>
      </c>
      <c r="S37" s="6">
        <f t="shared" si="21"/>
        <v>380</v>
      </c>
      <c r="T37" s="6">
        <f t="shared" si="21"/>
        <v>272</v>
      </c>
      <c r="U37" s="6">
        <f t="shared" si="21"/>
        <v>162</v>
      </c>
      <c r="V37" s="6">
        <f t="shared" si="21"/>
        <v>24</v>
      </c>
      <c r="W37" s="6">
        <f>SUM(Q37:V37)</f>
        <v>1200</v>
      </c>
    </row>
    <row r="38" spans="1:23" s="36" customFormat="1" ht="20.25" customHeight="1">
      <c r="B38" s="37"/>
      <c r="C38" s="37"/>
      <c r="D38" s="38"/>
      <c r="E38" s="39"/>
      <c r="F38" s="40"/>
      <c r="G38" s="41"/>
      <c r="H38" s="42"/>
      <c r="I38" s="42"/>
      <c r="J38" s="42"/>
      <c r="K38" s="42"/>
      <c r="L38" s="43"/>
      <c r="M38" s="44"/>
      <c r="N38" s="40"/>
      <c r="O38" s="40"/>
      <c r="P38" s="40"/>
    </row>
    <row r="39" spans="1:23" s="4" customFormat="1" ht="30.75" customHeight="1" thickBot="1">
      <c r="B39" s="122" t="s">
        <v>51</v>
      </c>
      <c r="C39" s="45"/>
      <c r="D39" s="45"/>
      <c r="E39" s="45"/>
      <c r="F39" s="46"/>
      <c r="G39" s="47"/>
      <c r="H39" s="46"/>
      <c r="I39" s="46"/>
      <c r="J39" s="46"/>
      <c r="K39" s="46"/>
      <c r="L39" s="46"/>
      <c r="N39" s="48"/>
      <c r="O39" s="48"/>
      <c r="P39" s="49"/>
    </row>
    <row r="40" spans="1:23" s="50" customFormat="1" ht="120.5" thickBot="1">
      <c r="A40" s="671" t="s">
        <v>52</v>
      </c>
      <c r="B40" s="672"/>
      <c r="C40" s="672"/>
      <c r="D40" s="112" t="s">
        <v>53</v>
      </c>
      <c r="E40" s="113" t="s">
        <v>54</v>
      </c>
      <c r="F40" s="112" t="s">
        <v>55</v>
      </c>
      <c r="G40" s="114" t="s">
        <v>56</v>
      </c>
      <c r="H40" s="114" t="s">
        <v>57</v>
      </c>
      <c r="I40" s="114" t="s">
        <v>58</v>
      </c>
      <c r="J40" s="114" t="s">
        <v>59</v>
      </c>
      <c r="K40" s="114" t="s">
        <v>273</v>
      </c>
      <c r="L40" s="114" t="s">
        <v>61</v>
      </c>
      <c r="M40" s="663" t="s">
        <v>62</v>
      </c>
      <c r="N40" s="664"/>
      <c r="O40" s="664"/>
      <c r="P40" s="665"/>
    </row>
    <row r="41" spans="1:23" s="14" customFormat="1" ht="46" customHeight="1">
      <c r="A41" s="660" t="str">
        <f>D18</f>
        <v xml:space="preserve">DARKEST BLACK       </v>
      </c>
      <c r="B41" s="661"/>
      <c r="C41" s="661"/>
      <c r="D41" s="661"/>
      <c r="E41" s="661"/>
      <c r="F41" s="661"/>
      <c r="G41" s="661"/>
      <c r="H41" s="661"/>
      <c r="I41" s="661"/>
      <c r="J41" s="661"/>
      <c r="K41" s="661"/>
      <c r="L41" s="661"/>
      <c r="M41" s="661"/>
      <c r="N41" s="661"/>
      <c r="O41" s="661"/>
      <c r="P41" s="662"/>
    </row>
    <row r="42" spans="1:23" s="14" customFormat="1" ht="106" customHeight="1">
      <c r="A42" s="178">
        <v>1</v>
      </c>
      <c r="B42" s="535" t="str">
        <f>L11</f>
        <v>FRENCH TERRY 100% ORGANIC COTTON 430GSM</v>
      </c>
      <c r="C42" s="535"/>
      <c r="D42" s="135" t="s">
        <v>274</v>
      </c>
      <c r="E42" s="135" t="str">
        <f>A41</f>
        <v xml:space="preserve">DARKEST BLACK       </v>
      </c>
      <c r="F42" s="147" t="s">
        <v>39</v>
      </c>
      <c r="G42" s="154">
        <f>$P$20</f>
        <v>319</v>
      </c>
      <c r="H42" s="155">
        <v>0.84499999999999997</v>
      </c>
      <c r="I42" s="156">
        <f>G42*H42</f>
        <v>269.55500000000001</v>
      </c>
      <c r="J42" s="156">
        <f>I42*8.7%+(I42/25)*0.5</f>
        <v>28.842385</v>
      </c>
      <c r="K42" s="154">
        <v>0</v>
      </c>
      <c r="L42" s="177">
        <f t="shared" ref="L42:L43" si="22">ROUNDUP(SUM(I42:K42),0)</f>
        <v>299</v>
      </c>
      <c r="M42" s="666"/>
      <c r="N42" s="667"/>
      <c r="O42" s="667"/>
      <c r="P42" s="667"/>
    </row>
    <row r="43" spans="1:23" s="14" customFormat="1" ht="106" customHeight="1">
      <c r="A43" s="178">
        <v>2</v>
      </c>
      <c r="B43" s="535" t="s">
        <v>275</v>
      </c>
      <c r="C43" s="535"/>
      <c r="D43" s="135" t="s">
        <v>276</v>
      </c>
      <c r="E43" s="135" t="str">
        <f>E42</f>
        <v xml:space="preserve">DARKEST BLACK       </v>
      </c>
      <c r="F43" s="147" t="s">
        <v>39</v>
      </c>
      <c r="G43" s="154">
        <f>G42</f>
        <v>319</v>
      </c>
      <c r="H43" s="155">
        <v>0.02</v>
      </c>
      <c r="I43" s="156">
        <f t="shared" ref="I43" si="23">G43*H43</f>
        <v>6.38</v>
      </c>
      <c r="J43" s="156">
        <f>I43*3%+(I43/50)*0.5</f>
        <v>0.25519999999999998</v>
      </c>
      <c r="K43" s="154">
        <v>0</v>
      </c>
      <c r="L43" s="177">
        <f t="shared" si="22"/>
        <v>7</v>
      </c>
      <c r="M43" s="666"/>
      <c r="N43" s="667"/>
      <c r="O43" s="667"/>
      <c r="P43" s="667"/>
    </row>
    <row r="44" spans="1:23" s="14" customFormat="1" ht="106" customHeight="1">
      <c r="A44" s="178">
        <v>3</v>
      </c>
      <c r="B44" s="535" t="s">
        <v>277</v>
      </c>
      <c r="C44" s="535"/>
      <c r="D44" s="135" t="s">
        <v>278</v>
      </c>
      <c r="E44" s="135" t="str">
        <f>E43</f>
        <v xml:space="preserve">DARKEST BLACK       </v>
      </c>
      <c r="F44" s="147" t="s">
        <v>39</v>
      </c>
      <c r="G44" s="154">
        <f>G43</f>
        <v>319</v>
      </c>
      <c r="H44" s="155">
        <v>0.14000000000000001</v>
      </c>
      <c r="I44" s="156">
        <f>G44*H44</f>
        <v>44.660000000000004</v>
      </c>
      <c r="J44" s="156">
        <f>I44*0%+(I44/25)*0.5</f>
        <v>0.8932000000000001</v>
      </c>
      <c r="K44" s="154">
        <v>0</v>
      </c>
      <c r="L44" s="177">
        <f t="shared" ref="L44" si="24">ROUNDUP(SUM(I44:K44),0)</f>
        <v>46</v>
      </c>
      <c r="M44" s="666"/>
      <c r="N44" s="667"/>
      <c r="O44" s="667"/>
      <c r="P44" s="667"/>
    </row>
    <row r="45" spans="1:23" s="14" customFormat="1" ht="46" customHeight="1">
      <c r="A45" s="667" t="str">
        <f>D23</f>
        <v xml:space="preserve">HYPER LILAC         </v>
      </c>
      <c r="B45" s="667"/>
      <c r="C45" s="667"/>
      <c r="D45" s="667"/>
      <c r="E45" s="667"/>
      <c r="F45" s="667"/>
      <c r="G45" s="667"/>
      <c r="H45" s="667"/>
      <c r="I45" s="667"/>
      <c r="J45" s="667"/>
      <c r="K45" s="667"/>
      <c r="L45" s="667"/>
      <c r="M45" s="667"/>
      <c r="N45" s="667"/>
      <c r="O45" s="667"/>
      <c r="P45" s="667"/>
    </row>
    <row r="46" spans="1:23" s="14" customFormat="1" ht="106" customHeight="1">
      <c r="A46" s="178">
        <v>1</v>
      </c>
      <c r="B46" s="535" t="str">
        <f>L11</f>
        <v>FRENCH TERRY 100% ORGANIC COTTON 430GSM</v>
      </c>
      <c r="C46" s="535"/>
      <c r="D46" s="135" t="s">
        <v>274</v>
      </c>
      <c r="E46" s="135" t="str">
        <f>A45</f>
        <v xml:space="preserve">HYPER LILAC         </v>
      </c>
      <c r="F46" s="147" t="s">
        <v>39</v>
      </c>
      <c r="G46" s="154">
        <f>$P$25</f>
        <v>318</v>
      </c>
      <c r="H46" s="155">
        <v>0.84499999999999997</v>
      </c>
      <c r="I46" s="156">
        <f>G46*H46</f>
        <v>268.70999999999998</v>
      </c>
      <c r="J46" s="156">
        <f>I46*8.7%+(I46/25)*0.5</f>
        <v>28.751969999999996</v>
      </c>
      <c r="K46" s="154">
        <v>0</v>
      </c>
      <c r="L46" s="177">
        <f t="shared" ref="L46:L47" si="25">ROUNDUP(SUM(I46:K46),0)</f>
        <v>298</v>
      </c>
      <c r="M46" s="666"/>
      <c r="N46" s="667"/>
      <c r="O46" s="667"/>
      <c r="P46" s="667"/>
    </row>
    <row r="47" spans="1:23" s="14" customFormat="1" ht="106" customHeight="1">
      <c r="A47" s="178">
        <v>2</v>
      </c>
      <c r="B47" s="535" t="s">
        <v>275</v>
      </c>
      <c r="C47" s="535"/>
      <c r="D47" s="135" t="s">
        <v>276</v>
      </c>
      <c r="E47" s="135" t="str">
        <f>E46</f>
        <v xml:space="preserve">HYPER LILAC         </v>
      </c>
      <c r="F47" s="147" t="s">
        <v>39</v>
      </c>
      <c r="G47" s="154">
        <f>G46</f>
        <v>318</v>
      </c>
      <c r="H47" s="155">
        <v>0.02</v>
      </c>
      <c r="I47" s="156">
        <f t="shared" ref="I47" si="26">G47*H47</f>
        <v>6.36</v>
      </c>
      <c r="J47" s="156">
        <f>I47*3%+(I47/50)*0.5</f>
        <v>0.25440000000000002</v>
      </c>
      <c r="K47" s="154">
        <v>0</v>
      </c>
      <c r="L47" s="177">
        <f t="shared" si="25"/>
        <v>7</v>
      </c>
      <c r="M47" s="666"/>
      <c r="N47" s="667"/>
      <c r="O47" s="667"/>
      <c r="P47" s="667"/>
    </row>
    <row r="48" spans="1:23" s="14" customFormat="1" ht="106" customHeight="1">
      <c r="A48" s="178">
        <v>3</v>
      </c>
      <c r="B48" s="535" t="s">
        <v>277</v>
      </c>
      <c r="C48" s="535"/>
      <c r="D48" s="135" t="s">
        <v>278</v>
      </c>
      <c r="E48" s="135" t="str">
        <f>E47</f>
        <v xml:space="preserve">HYPER LILAC         </v>
      </c>
      <c r="F48" s="147" t="s">
        <v>39</v>
      </c>
      <c r="G48" s="154">
        <f>G47</f>
        <v>318</v>
      </c>
      <c r="H48" s="155">
        <v>0.14000000000000001</v>
      </c>
      <c r="I48" s="156">
        <f>G48*H48</f>
        <v>44.52</v>
      </c>
      <c r="J48" s="156">
        <f>I48*0%+(I48/25)*0.5</f>
        <v>0.89040000000000008</v>
      </c>
      <c r="K48" s="154">
        <v>0</v>
      </c>
      <c r="L48" s="177">
        <f t="shared" ref="L48" si="27">ROUNDUP(SUM(I48:K48),0)</f>
        <v>46</v>
      </c>
      <c r="M48" s="666"/>
      <c r="N48" s="667"/>
      <c r="O48" s="667"/>
      <c r="P48" s="667"/>
    </row>
    <row r="49" spans="1:16" s="14" customFormat="1" ht="46" customHeight="1">
      <c r="A49" s="667" t="str">
        <f>D28</f>
        <v xml:space="preserve">ATOMIC BLASTER      </v>
      </c>
      <c r="B49" s="667"/>
      <c r="C49" s="667"/>
      <c r="D49" s="667"/>
      <c r="E49" s="667"/>
      <c r="F49" s="667"/>
      <c r="G49" s="667"/>
      <c r="H49" s="667"/>
      <c r="I49" s="667"/>
      <c r="J49" s="667"/>
      <c r="K49" s="667"/>
      <c r="L49" s="667"/>
      <c r="M49" s="667"/>
      <c r="N49" s="667"/>
      <c r="O49" s="667"/>
      <c r="P49" s="667"/>
    </row>
    <row r="50" spans="1:16" s="14" customFormat="1" ht="106" customHeight="1">
      <c r="A50" s="178">
        <v>1</v>
      </c>
      <c r="B50" s="535" t="str">
        <f>L11</f>
        <v>FRENCH TERRY 100% ORGANIC COTTON 430GSM</v>
      </c>
      <c r="C50" s="535"/>
      <c r="D50" s="135" t="s">
        <v>274</v>
      </c>
      <c r="E50" s="135" t="str">
        <f>A49</f>
        <v xml:space="preserve">ATOMIC BLASTER      </v>
      </c>
      <c r="F50" s="147" t="s">
        <v>39</v>
      </c>
      <c r="G50" s="154">
        <f>$P$30</f>
        <v>319</v>
      </c>
      <c r="H50" s="155">
        <v>0.84499999999999997</v>
      </c>
      <c r="I50" s="156">
        <f>G50*H50</f>
        <v>269.55500000000001</v>
      </c>
      <c r="J50" s="156">
        <f>I50*8.7%+(I50/25)*0.5</f>
        <v>28.842385</v>
      </c>
      <c r="K50" s="154">
        <v>0</v>
      </c>
      <c r="L50" s="177">
        <f t="shared" ref="L50:L51" si="28">ROUNDUP(SUM(I50:K50),0)</f>
        <v>299</v>
      </c>
      <c r="M50" s="666"/>
      <c r="N50" s="667"/>
      <c r="O50" s="667"/>
      <c r="P50" s="667"/>
    </row>
    <row r="51" spans="1:16" s="14" customFormat="1" ht="106" customHeight="1">
      <c r="A51" s="178">
        <v>2</v>
      </c>
      <c r="B51" s="535" t="s">
        <v>275</v>
      </c>
      <c r="C51" s="535"/>
      <c r="D51" s="135" t="s">
        <v>276</v>
      </c>
      <c r="E51" s="135" t="str">
        <f>E50</f>
        <v xml:space="preserve">ATOMIC BLASTER      </v>
      </c>
      <c r="F51" s="147" t="s">
        <v>39</v>
      </c>
      <c r="G51" s="154">
        <f>G50</f>
        <v>319</v>
      </c>
      <c r="H51" s="155">
        <v>0.02</v>
      </c>
      <c r="I51" s="156">
        <f t="shared" ref="I51" si="29">G51*H51</f>
        <v>6.38</v>
      </c>
      <c r="J51" s="156">
        <f>I51*3%+(I51/50)*0.5</f>
        <v>0.25519999999999998</v>
      </c>
      <c r="K51" s="154">
        <v>0</v>
      </c>
      <c r="L51" s="177">
        <f t="shared" si="28"/>
        <v>7</v>
      </c>
      <c r="M51" s="666"/>
      <c r="N51" s="667"/>
      <c r="O51" s="667"/>
      <c r="P51" s="667"/>
    </row>
    <row r="52" spans="1:16" s="14" customFormat="1" ht="106" customHeight="1">
      <c r="A52" s="178">
        <v>3</v>
      </c>
      <c r="B52" s="535" t="s">
        <v>277</v>
      </c>
      <c r="C52" s="535"/>
      <c r="D52" s="135" t="s">
        <v>278</v>
      </c>
      <c r="E52" s="135" t="str">
        <f>E51</f>
        <v xml:space="preserve">ATOMIC BLASTER      </v>
      </c>
      <c r="F52" s="147" t="s">
        <v>39</v>
      </c>
      <c r="G52" s="154">
        <f>G51</f>
        <v>319</v>
      </c>
      <c r="H52" s="155">
        <v>0.14000000000000001</v>
      </c>
      <c r="I52" s="156">
        <f>G52*H52</f>
        <v>44.660000000000004</v>
      </c>
      <c r="J52" s="156">
        <f>I52*0%+(I52/25)*0.5</f>
        <v>0.8932000000000001</v>
      </c>
      <c r="K52" s="154">
        <v>0</v>
      </c>
      <c r="L52" s="177">
        <f t="shared" ref="L52" si="30">ROUNDUP(SUM(I52:K52),0)</f>
        <v>46</v>
      </c>
      <c r="M52" s="666"/>
      <c r="N52" s="667"/>
      <c r="O52" s="667"/>
      <c r="P52" s="667"/>
    </row>
    <row r="53" spans="1:16" s="14" customFormat="1" ht="46" customHeight="1">
      <c r="A53" s="667" t="str">
        <f>D33</f>
        <v xml:space="preserve">OPTIC WHITE         </v>
      </c>
      <c r="B53" s="667"/>
      <c r="C53" s="667"/>
      <c r="D53" s="667"/>
      <c r="E53" s="667"/>
      <c r="F53" s="667"/>
      <c r="G53" s="667"/>
      <c r="H53" s="667"/>
      <c r="I53" s="667"/>
      <c r="J53" s="667"/>
      <c r="K53" s="667"/>
      <c r="L53" s="667"/>
      <c r="M53" s="667"/>
      <c r="N53" s="667"/>
      <c r="O53" s="667"/>
      <c r="P53" s="667"/>
    </row>
    <row r="54" spans="1:16" s="14" customFormat="1" ht="106" customHeight="1">
      <c r="A54" s="178">
        <v>1</v>
      </c>
      <c r="B54" s="535" t="str">
        <f>L11</f>
        <v>FRENCH TERRY 100% ORGANIC COTTON 430GSM</v>
      </c>
      <c r="C54" s="535"/>
      <c r="D54" s="135" t="s">
        <v>274</v>
      </c>
      <c r="E54" s="135" t="str">
        <f>A53</f>
        <v xml:space="preserve">OPTIC WHITE         </v>
      </c>
      <c r="F54" s="147" t="s">
        <v>39</v>
      </c>
      <c r="G54" s="154">
        <f>$P$35</f>
        <v>318</v>
      </c>
      <c r="H54" s="155">
        <v>0.84499999999999997</v>
      </c>
      <c r="I54" s="156">
        <f>G54*H54</f>
        <v>268.70999999999998</v>
      </c>
      <c r="J54" s="156">
        <f>I54*8.7%+(I54/25)*0.5</f>
        <v>28.751969999999996</v>
      </c>
      <c r="K54" s="154">
        <v>0</v>
      </c>
      <c r="L54" s="177">
        <f t="shared" ref="L54:L55" si="31">ROUNDUP(SUM(I54:K54),0)</f>
        <v>298</v>
      </c>
      <c r="M54" s="666"/>
      <c r="N54" s="667"/>
      <c r="O54" s="667"/>
      <c r="P54" s="667"/>
    </row>
    <row r="55" spans="1:16" s="14" customFormat="1" ht="106" customHeight="1">
      <c r="A55" s="178">
        <v>2</v>
      </c>
      <c r="B55" s="535" t="s">
        <v>275</v>
      </c>
      <c r="C55" s="535"/>
      <c r="D55" s="135" t="s">
        <v>276</v>
      </c>
      <c r="E55" s="135" t="str">
        <f>E54</f>
        <v xml:space="preserve">OPTIC WHITE         </v>
      </c>
      <c r="F55" s="147" t="s">
        <v>39</v>
      </c>
      <c r="G55" s="154">
        <f>G54</f>
        <v>318</v>
      </c>
      <c r="H55" s="155">
        <v>0.02</v>
      </c>
      <c r="I55" s="156">
        <f t="shared" ref="I55" si="32">G55*H55</f>
        <v>6.36</v>
      </c>
      <c r="J55" s="156">
        <f>I55*3%+(I55/50)*0.5</f>
        <v>0.25440000000000002</v>
      </c>
      <c r="K55" s="154">
        <v>0</v>
      </c>
      <c r="L55" s="177">
        <f t="shared" si="31"/>
        <v>7</v>
      </c>
      <c r="M55" s="666"/>
      <c r="N55" s="667"/>
      <c r="O55" s="667"/>
      <c r="P55" s="667"/>
    </row>
    <row r="56" spans="1:16" s="14" customFormat="1" ht="106" customHeight="1">
      <c r="A56" s="178">
        <v>3</v>
      </c>
      <c r="B56" s="535" t="s">
        <v>277</v>
      </c>
      <c r="C56" s="535"/>
      <c r="D56" s="135" t="s">
        <v>278</v>
      </c>
      <c r="E56" s="135" t="str">
        <f>E55</f>
        <v xml:space="preserve">OPTIC WHITE         </v>
      </c>
      <c r="F56" s="147" t="s">
        <v>39</v>
      </c>
      <c r="G56" s="154">
        <f>G55</f>
        <v>318</v>
      </c>
      <c r="H56" s="155">
        <v>0.14000000000000001</v>
      </c>
      <c r="I56" s="156">
        <f>G56*H56</f>
        <v>44.52</v>
      </c>
      <c r="J56" s="156">
        <f>I56*0%+(I56/25)*0.5</f>
        <v>0.89040000000000008</v>
      </c>
      <c r="K56" s="154">
        <v>0</v>
      </c>
      <c r="L56" s="177">
        <f t="shared" ref="L56" si="33">ROUNDUP(SUM(I56:K56),0)</f>
        <v>46</v>
      </c>
      <c r="M56" s="666"/>
      <c r="N56" s="667"/>
      <c r="O56" s="667"/>
      <c r="P56" s="667"/>
    </row>
    <row r="57" spans="1:16" s="51" customFormat="1" ht="20.149999999999999" customHeight="1">
      <c r="A57" s="48"/>
      <c r="B57" s="48"/>
      <c r="C57" s="48"/>
      <c r="D57" s="48"/>
      <c r="E57" s="48"/>
      <c r="F57" s="48"/>
      <c r="G57" s="52"/>
      <c r="H57" s="48"/>
      <c r="I57" s="48"/>
      <c r="J57" s="48"/>
      <c r="K57" s="48"/>
      <c r="L57" s="48"/>
      <c r="M57" s="48"/>
      <c r="N57" s="48"/>
      <c r="O57" s="48"/>
      <c r="P57" s="48"/>
    </row>
    <row r="58" spans="1:16" s="53" customFormat="1" ht="33" customHeight="1" thickBot="1">
      <c r="B58" s="122" t="s">
        <v>64</v>
      </c>
      <c r="C58" s="54"/>
      <c r="D58" s="54"/>
      <c r="E58" s="54"/>
      <c r="G58" s="55"/>
      <c r="P58" s="56"/>
    </row>
    <row r="59" spans="1:16" s="67" customFormat="1" ht="96">
      <c r="A59" s="637" t="s">
        <v>65</v>
      </c>
      <c r="B59" s="638"/>
      <c r="C59" s="638"/>
      <c r="D59" s="638"/>
      <c r="E59" s="639"/>
      <c r="F59" s="115" t="s">
        <v>66</v>
      </c>
      <c r="G59" s="115" t="s">
        <v>67</v>
      </c>
      <c r="H59" s="668" t="s">
        <v>68</v>
      </c>
      <c r="I59" s="669"/>
      <c r="J59" s="116" t="s">
        <v>55</v>
      </c>
      <c r="K59" s="115" t="s">
        <v>69</v>
      </c>
      <c r="L59" s="115" t="s">
        <v>70</v>
      </c>
      <c r="M59" s="117" t="s">
        <v>71</v>
      </c>
      <c r="N59" s="117" t="s">
        <v>72</v>
      </c>
      <c r="O59" s="117" t="s">
        <v>73</v>
      </c>
      <c r="P59" s="117" t="s">
        <v>74</v>
      </c>
    </row>
    <row r="60" spans="1:16" s="60" customFormat="1" ht="96.65" customHeight="1">
      <c r="A60" s="135">
        <v>1</v>
      </c>
      <c r="B60" s="477" t="s">
        <v>279</v>
      </c>
      <c r="C60" s="478"/>
      <c r="D60" s="478"/>
      <c r="E60" s="479"/>
      <c r="F60" s="157" t="str">
        <f>$A$41</f>
        <v xml:space="preserve">DARKEST BLACK       </v>
      </c>
      <c r="G60" s="190"/>
      <c r="H60" s="480" t="str">
        <f>$A$41</f>
        <v xml:space="preserve">DARKEST BLACK       </v>
      </c>
      <c r="I60" s="481"/>
      <c r="J60" s="147" t="s">
        <v>280</v>
      </c>
      <c r="K60" s="147">
        <f>$P$20</f>
        <v>319</v>
      </c>
      <c r="L60" s="143">
        <f>212/4500</f>
        <v>4.7111111111111111E-2</v>
      </c>
      <c r="M60" s="144">
        <f t="shared" ref="M60:M63" si="34">K60*L60</f>
        <v>15.028444444444444</v>
      </c>
      <c r="N60" s="144"/>
      <c r="O60" s="145">
        <f t="shared" ref="O60:O63" si="35">ROUNDUP(SUM(M60:N60),0)</f>
        <v>16</v>
      </c>
      <c r="P60" s="685"/>
    </row>
    <row r="61" spans="1:16" s="60" customFormat="1" ht="96.65" customHeight="1">
      <c r="A61" s="135">
        <v>1</v>
      </c>
      <c r="B61" s="477" t="s">
        <v>279</v>
      </c>
      <c r="C61" s="478"/>
      <c r="D61" s="478"/>
      <c r="E61" s="479"/>
      <c r="F61" s="157" t="str">
        <f>$A$45</f>
        <v xml:space="preserve">HYPER LILAC         </v>
      </c>
      <c r="G61" s="190"/>
      <c r="H61" s="480" t="str">
        <f>$A$45</f>
        <v xml:space="preserve">HYPER LILAC         </v>
      </c>
      <c r="I61" s="481"/>
      <c r="J61" s="147" t="s">
        <v>280</v>
      </c>
      <c r="K61" s="147">
        <f>$P$25</f>
        <v>318</v>
      </c>
      <c r="L61" s="143">
        <f t="shared" ref="L61:L63" si="36">212/4500</f>
        <v>4.7111111111111111E-2</v>
      </c>
      <c r="M61" s="144">
        <f t="shared" si="34"/>
        <v>14.981333333333334</v>
      </c>
      <c r="N61" s="144"/>
      <c r="O61" s="145">
        <f t="shared" si="35"/>
        <v>15</v>
      </c>
      <c r="P61" s="686"/>
    </row>
    <row r="62" spans="1:16" s="60" customFormat="1" ht="96.65" customHeight="1">
      <c r="A62" s="135">
        <v>1</v>
      </c>
      <c r="B62" s="477" t="s">
        <v>279</v>
      </c>
      <c r="C62" s="478"/>
      <c r="D62" s="478"/>
      <c r="E62" s="479"/>
      <c r="F62" s="157" t="str">
        <f>$D$28</f>
        <v xml:space="preserve">ATOMIC BLASTER      </v>
      </c>
      <c r="G62" s="190"/>
      <c r="H62" s="480" t="str">
        <f>$A$49</f>
        <v xml:space="preserve">ATOMIC BLASTER      </v>
      </c>
      <c r="I62" s="481"/>
      <c r="J62" s="147" t="s">
        <v>280</v>
      </c>
      <c r="K62" s="147">
        <f>$P$30</f>
        <v>319</v>
      </c>
      <c r="L62" s="143">
        <f t="shared" si="36"/>
        <v>4.7111111111111111E-2</v>
      </c>
      <c r="M62" s="144">
        <f t="shared" si="34"/>
        <v>15.028444444444444</v>
      </c>
      <c r="N62" s="144"/>
      <c r="O62" s="145">
        <f t="shared" si="35"/>
        <v>16</v>
      </c>
      <c r="P62" s="686"/>
    </row>
    <row r="63" spans="1:16" s="60" customFormat="1" ht="96.65" customHeight="1">
      <c r="A63" s="135">
        <v>1</v>
      </c>
      <c r="B63" s="477" t="s">
        <v>279</v>
      </c>
      <c r="C63" s="478"/>
      <c r="D63" s="478"/>
      <c r="E63" s="479"/>
      <c r="F63" s="157" t="str">
        <f>$E$54</f>
        <v xml:space="preserve">OPTIC WHITE         </v>
      </c>
      <c r="G63" s="190"/>
      <c r="H63" s="480" t="str">
        <f>$A$53</f>
        <v xml:space="preserve">OPTIC WHITE         </v>
      </c>
      <c r="I63" s="481"/>
      <c r="J63" s="147" t="s">
        <v>280</v>
      </c>
      <c r="K63" s="147">
        <f>$P$35</f>
        <v>318</v>
      </c>
      <c r="L63" s="143">
        <f t="shared" si="36"/>
        <v>4.7111111111111111E-2</v>
      </c>
      <c r="M63" s="144">
        <f t="shared" si="34"/>
        <v>14.981333333333334</v>
      </c>
      <c r="N63" s="144"/>
      <c r="O63" s="145">
        <f t="shared" si="35"/>
        <v>15</v>
      </c>
      <c r="P63" s="687"/>
    </row>
    <row r="64" spans="1:16" s="60" customFormat="1" ht="71.5" customHeight="1">
      <c r="A64" s="135">
        <v>2</v>
      </c>
      <c r="B64" s="477" t="s">
        <v>281</v>
      </c>
      <c r="C64" s="478"/>
      <c r="D64" s="478"/>
      <c r="E64" s="479"/>
      <c r="F64" s="197" t="s">
        <v>282</v>
      </c>
      <c r="G64" s="656" t="s">
        <v>283</v>
      </c>
      <c r="H64" s="651" t="str">
        <f>$A$41</f>
        <v xml:space="preserve">DARKEST BLACK       </v>
      </c>
      <c r="I64" s="651"/>
      <c r="J64" s="147" t="s">
        <v>76</v>
      </c>
      <c r="K64" s="147">
        <f>$P$20</f>
        <v>319</v>
      </c>
      <c r="L64" s="143">
        <v>1</v>
      </c>
      <c r="M64" s="144">
        <f t="shared" ref="M64:M80" si="37">K64*L64</f>
        <v>319</v>
      </c>
      <c r="N64" s="144"/>
      <c r="O64" s="145">
        <f t="shared" ref="O64:O80" si="38">SUM(M64:N64)</f>
        <v>319</v>
      </c>
      <c r="P64" s="683"/>
    </row>
    <row r="65" spans="1:16" s="60" customFormat="1" ht="71.5" customHeight="1">
      <c r="A65" s="135">
        <v>2</v>
      </c>
      <c r="B65" s="477" t="s">
        <v>281</v>
      </c>
      <c r="C65" s="478"/>
      <c r="D65" s="478"/>
      <c r="E65" s="479"/>
      <c r="F65" s="197" t="s">
        <v>282</v>
      </c>
      <c r="G65" s="656"/>
      <c r="H65" s="651" t="str">
        <f>$A$45</f>
        <v xml:space="preserve">HYPER LILAC         </v>
      </c>
      <c r="I65" s="651"/>
      <c r="J65" s="147" t="s">
        <v>76</v>
      </c>
      <c r="K65" s="147">
        <f>$P$25</f>
        <v>318</v>
      </c>
      <c r="L65" s="143">
        <v>1</v>
      </c>
      <c r="M65" s="144">
        <f t="shared" si="37"/>
        <v>318</v>
      </c>
      <c r="N65" s="144"/>
      <c r="O65" s="145">
        <f t="shared" ref="O65:O66" si="39">SUM(M65:N65)</f>
        <v>318</v>
      </c>
      <c r="P65" s="683"/>
    </row>
    <row r="66" spans="1:16" s="60" customFormat="1" ht="74.150000000000006" customHeight="1">
      <c r="A66" s="135">
        <v>2</v>
      </c>
      <c r="B66" s="477" t="s">
        <v>281</v>
      </c>
      <c r="C66" s="478"/>
      <c r="D66" s="478"/>
      <c r="E66" s="479"/>
      <c r="F66" s="197" t="s">
        <v>282</v>
      </c>
      <c r="G66" s="656"/>
      <c r="H66" s="651" t="str">
        <f>$A$49</f>
        <v xml:space="preserve">ATOMIC BLASTER      </v>
      </c>
      <c r="I66" s="651"/>
      <c r="J66" s="147" t="s">
        <v>76</v>
      </c>
      <c r="K66" s="147">
        <f>$P$30</f>
        <v>319</v>
      </c>
      <c r="L66" s="143">
        <v>1</v>
      </c>
      <c r="M66" s="144">
        <f t="shared" si="37"/>
        <v>319</v>
      </c>
      <c r="N66" s="144"/>
      <c r="O66" s="145">
        <f t="shared" si="39"/>
        <v>319</v>
      </c>
      <c r="P66" s="683"/>
    </row>
    <row r="67" spans="1:16" s="60" customFormat="1" ht="74.150000000000006" customHeight="1">
      <c r="A67" s="135">
        <v>2</v>
      </c>
      <c r="B67" s="477" t="s">
        <v>281</v>
      </c>
      <c r="C67" s="478"/>
      <c r="D67" s="478"/>
      <c r="E67" s="479"/>
      <c r="F67" s="197" t="s">
        <v>282</v>
      </c>
      <c r="G67" s="656"/>
      <c r="H67" s="651" t="str">
        <f>$A$53</f>
        <v xml:space="preserve">OPTIC WHITE         </v>
      </c>
      <c r="I67" s="651"/>
      <c r="J67" s="147" t="s">
        <v>76</v>
      </c>
      <c r="K67" s="147">
        <f>$P$35</f>
        <v>318</v>
      </c>
      <c r="L67" s="143">
        <v>1</v>
      </c>
      <c r="M67" s="144">
        <f t="shared" ref="M67" si="40">K67*L67</f>
        <v>318</v>
      </c>
      <c r="N67" s="144"/>
      <c r="O67" s="145">
        <f t="shared" ref="O67" si="41">SUM(M67:N67)</f>
        <v>318</v>
      </c>
      <c r="P67" s="683"/>
    </row>
    <row r="68" spans="1:16" s="60" customFormat="1" ht="70" customHeight="1">
      <c r="A68" s="135">
        <v>3</v>
      </c>
      <c r="B68" s="477" t="s">
        <v>284</v>
      </c>
      <c r="C68" s="478"/>
      <c r="D68" s="478"/>
      <c r="E68" s="479"/>
      <c r="F68" s="197" t="s">
        <v>285</v>
      </c>
      <c r="G68" s="191"/>
      <c r="H68" s="651" t="str">
        <f>$A$41</f>
        <v xml:space="preserve">DARKEST BLACK       </v>
      </c>
      <c r="I68" s="651"/>
      <c r="J68" s="147" t="s">
        <v>76</v>
      </c>
      <c r="K68" s="147">
        <f>$P$20</f>
        <v>319</v>
      </c>
      <c r="L68" s="143">
        <v>1</v>
      </c>
      <c r="M68" s="144">
        <f t="shared" si="37"/>
        <v>319</v>
      </c>
      <c r="N68" s="144"/>
      <c r="O68" s="145">
        <f t="shared" si="38"/>
        <v>319</v>
      </c>
      <c r="P68" s="683" t="s">
        <v>286</v>
      </c>
    </row>
    <row r="69" spans="1:16" s="60" customFormat="1" ht="70" customHeight="1">
      <c r="A69" s="135">
        <v>3</v>
      </c>
      <c r="B69" s="477" t="s">
        <v>284</v>
      </c>
      <c r="C69" s="478"/>
      <c r="D69" s="478"/>
      <c r="E69" s="479"/>
      <c r="F69" s="197" t="s">
        <v>285</v>
      </c>
      <c r="G69" s="191"/>
      <c r="H69" s="651" t="str">
        <f>$A$45</f>
        <v xml:space="preserve">HYPER LILAC         </v>
      </c>
      <c r="I69" s="651"/>
      <c r="J69" s="147" t="s">
        <v>76</v>
      </c>
      <c r="K69" s="147">
        <f>$P$25</f>
        <v>318</v>
      </c>
      <c r="L69" s="143">
        <v>1</v>
      </c>
      <c r="M69" s="144">
        <f t="shared" si="37"/>
        <v>318</v>
      </c>
      <c r="N69" s="144"/>
      <c r="O69" s="145">
        <f t="shared" ref="O69:O71" si="42">SUM(M69:N69)</f>
        <v>318</v>
      </c>
      <c r="P69" s="683"/>
    </row>
    <row r="70" spans="1:16" s="60" customFormat="1" ht="70" customHeight="1">
      <c r="A70" s="135">
        <v>3</v>
      </c>
      <c r="B70" s="477" t="s">
        <v>284</v>
      </c>
      <c r="C70" s="478"/>
      <c r="D70" s="478"/>
      <c r="E70" s="479"/>
      <c r="F70" s="197" t="s">
        <v>285</v>
      </c>
      <c r="G70" s="190"/>
      <c r="H70" s="651" t="str">
        <f>$A$49</f>
        <v xml:space="preserve">ATOMIC BLASTER      </v>
      </c>
      <c r="I70" s="651"/>
      <c r="J70" s="147" t="s">
        <v>76</v>
      </c>
      <c r="K70" s="147">
        <f>$P$30</f>
        <v>319</v>
      </c>
      <c r="L70" s="143">
        <v>1</v>
      </c>
      <c r="M70" s="144">
        <f t="shared" ref="M70:M71" si="43">K70*L70</f>
        <v>319</v>
      </c>
      <c r="N70" s="144"/>
      <c r="O70" s="145">
        <f t="shared" si="42"/>
        <v>319</v>
      </c>
      <c r="P70" s="683"/>
    </row>
    <row r="71" spans="1:16" s="60" customFormat="1" ht="70" customHeight="1">
      <c r="A71" s="135">
        <v>3</v>
      </c>
      <c r="B71" s="477" t="s">
        <v>284</v>
      </c>
      <c r="C71" s="478"/>
      <c r="D71" s="478"/>
      <c r="E71" s="479"/>
      <c r="F71" s="197" t="s">
        <v>285</v>
      </c>
      <c r="G71" s="191"/>
      <c r="H71" s="651" t="str">
        <f>$A$53</f>
        <v xml:space="preserve">OPTIC WHITE         </v>
      </c>
      <c r="I71" s="651"/>
      <c r="J71" s="147" t="s">
        <v>76</v>
      </c>
      <c r="K71" s="147">
        <f>$P$35</f>
        <v>318</v>
      </c>
      <c r="L71" s="143">
        <v>1</v>
      </c>
      <c r="M71" s="144">
        <f t="shared" si="43"/>
        <v>318</v>
      </c>
      <c r="N71" s="144"/>
      <c r="O71" s="145">
        <f t="shared" si="42"/>
        <v>318</v>
      </c>
      <c r="P71" s="683"/>
    </row>
    <row r="72" spans="1:16" s="161" customFormat="1" ht="68.5" customHeight="1">
      <c r="A72" s="135">
        <v>4</v>
      </c>
      <c r="B72" s="644" t="s">
        <v>287</v>
      </c>
      <c r="C72" s="645"/>
      <c r="D72" s="645"/>
      <c r="E72" s="646"/>
      <c r="F72" s="197" t="s">
        <v>288</v>
      </c>
      <c r="G72" s="656"/>
      <c r="H72" s="651" t="str">
        <f>$A$41</f>
        <v xml:space="preserve">DARKEST BLACK       </v>
      </c>
      <c r="I72" s="651"/>
      <c r="J72" s="158" t="s">
        <v>76</v>
      </c>
      <c r="K72" s="147">
        <f>$P$20</f>
        <v>319</v>
      </c>
      <c r="L72" s="179">
        <v>1</v>
      </c>
      <c r="M72" s="159">
        <f t="shared" ref="M72:M73" si="44">K72*L72</f>
        <v>319</v>
      </c>
      <c r="N72" s="159"/>
      <c r="O72" s="160">
        <f t="shared" ref="O72:O73" si="45">SUM(M72:N72)</f>
        <v>319</v>
      </c>
      <c r="P72" s="683" t="s">
        <v>286</v>
      </c>
    </row>
    <row r="73" spans="1:16" s="161" customFormat="1" ht="68.5" customHeight="1">
      <c r="A73" s="135">
        <v>4</v>
      </c>
      <c r="B73" s="644" t="s">
        <v>287</v>
      </c>
      <c r="C73" s="645"/>
      <c r="D73" s="645"/>
      <c r="E73" s="646"/>
      <c r="F73" s="197" t="s">
        <v>288</v>
      </c>
      <c r="G73" s="656"/>
      <c r="H73" s="651" t="str">
        <f>$A$45</f>
        <v xml:space="preserve">HYPER LILAC         </v>
      </c>
      <c r="I73" s="651"/>
      <c r="J73" s="158" t="s">
        <v>76</v>
      </c>
      <c r="K73" s="147">
        <f>$P$25</f>
        <v>318</v>
      </c>
      <c r="L73" s="179">
        <v>1</v>
      </c>
      <c r="M73" s="159">
        <f t="shared" si="44"/>
        <v>318</v>
      </c>
      <c r="N73" s="159"/>
      <c r="O73" s="160">
        <f t="shared" si="45"/>
        <v>318</v>
      </c>
      <c r="P73" s="683"/>
    </row>
    <row r="74" spans="1:16" s="161" customFormat="1" ht="72" customHeight="1">
      <c r="A74" s="135">
        <v>4</v>
      </c>
      <c r="B74" s="644" t="s">
        <v>287</v>
      </c>
      <c r="C74" s="645"/>
      <c r="D74" s="645"/>
      <c r="E74" s="646"/>
      <c r="F74" s="197" t="s">
        <v>288</v>
      </c>
      <c r="G74" s="656"/>
      <c r="H74" s="651" t="str">
        <f>$A$49</f>
        <v xml:space="preserve">ATOMIC BLASTER      </v>
      </c>
      <c r="I74" s="651"/>
      <c r="J74" s="158" t="s">
        <v>76</v>
      </c>
      <c r="K74" s="147">
        <f>$P$30</f>
        <v>319</v>
      </c>
      <c r="L74" s="179">
        <v>1</v>
      </c>
      <c r="M74" s="159">
        <f t="shared" si="37"/>
        <v>319</v>
      </c>
      <c r="N74" s="159"/>
      <c r="O74" s="160">
        <f t="shared" ref="O74:O75" si="46">SUM(M74:N74)</f>
        <v>319</v>
      </c>
      <c r="P74" s="683"/>
    </row>
    <row r="75" spans="1:16" s="161" customFormat="1" ht="72" customHeight="1">
      <c r="A75" s="135">
        <v>4</v>
      </c>
      <c r="B75" s="644" t="s">
        <v>287</v>
      </c>
      <c r="C75" s="645"/>
      <c r="D75" s="645"/>
      <c r="E75" s="646"/>
      <c r="F75" s="197" t="s">
        <v>288</v>
      </c>
      <c r="G75" s="656"/>
      <c r="H75" s="651" t="str">
        <f>$A$53</f>
        <v xml:space="preserve">OPTIC WHITE         </v>
      </c>
      <c r="I75" s="651"/>
      <c r="J75" s="158" t="s">
        <v>76</v>
      </c>
      <c r="K75" s="147">
        <f>$P$35</f>
        <v>318</v>
      </c>
      <c r="L75" s="179">
        <v>1</v>
      </c>
      <c r="M75" s="159">
        <f t="shared" ref="M75" si="47">K75*L75</f>
        <v>318</v>
      </c>
      <c r="N75" s="159"/>
      <c r="O75" s="160">
        <f t="shared" si="46"/>
        <v>318</v>
      </c>
      <c r="P75" s="683"/>
    </row>
    <row r="76" spans="1:16" s="161" customFormat="1" ht="51" customHeight="1">
      <c r="A76" s="135">
        <v>5</v>
      </c>
      <c r="B76" s="644" t="s">
        <v>289</v>
      </c>
      <c r="C76" s="645"/>
      <c r="D76" s="645"/>
      <c r="E76" s="646"/>
      <c r="F76" s="197" t="s">
        <v>290</v>
      </c>
      <c r="G76" s="459" t="s">
        <v>291</v>
      </c>
      <c r="H76" s="651" t="str">
        <f>$A$41</f>
        <v xml:space="preserve">DARKEST BLACK       </v>
      </c>
      <c r="I76" s="651"/>
      <c r="J76" s="158" t="s">
        <v>39</v>
      </c>
      <c r="K76" s="147">
        <f>$P$20</f>
        <v>319</v>
      </c>
      <c r="L76" s="179">
        <v>0.1</v>
      </c>
      <c r="M76" s="159">
        <f t="shared" ref="M76:M77" si="48">K76*L76</f>
        <v>31.900000000000002</v>
      </c>
      <c r="N76" s="159"/>
      <c r="O76" s="160">
        <f t="shared" ref="O76:O77" si="49">SUM(M76:N76)</f>
        <v>31.900000000000002</v>
      </c>
      <c r="P76" s="180"/>
    </row>
    <row r="77" spans="1:16" s="161" customFormat="1" ht="51" customHeight="1">
      <c r="A77" s="135">
        <v>5</v>
      </c>
      <c r="B77" s="644" t="s">
        <v>289</v>
      </c>
      <c r="C77" s="645"/>
      <c r="D77" s="645"/>
      <c r="E77" s="646"/>
      <c r="F77" s="197" t="s">
        <v>290</v>
      </c>
      <c r="G77" s="459" t="s">
        <v>291</v>
      </c>
      <c r="H77" s="651" t="str">
        <f>$A$45</f>
        <v xml:space="preserve">HYPER LILAC         </v>
      </c>
      <c r="I77" s="651"/>
      <c r="J77" s="158" t="s">
        <v>39</v>
      </c>
      <c r="K77" s="147">
        <f>$P$25</f>
        <v>318</v>
      </c>
      <c r="L77" s="179">
        <v>0.1</v>
      </c>
      <c r="M77" s="159">
        <f t="shared" si="48"/>
        <v>31.8</v>
      </c>
      <c r="N77" s="159"/>
      <c r="O77" s="160">
        <f t="shared" si="49"/>
        <v>31.8</v>
      </c>
      <c r="P77" s="180"/>
    </row>
    <row r="78" spans="1:16" s="161" customFormat="1" ht="51" customHeight="1">
      <c r="A78" s="135">
        <v>5</v>
      </c>
      <c r="B78" s="644" t="s">
        <v>289</v>
      </c>
      <c r="C78" s="645"/>
      <c r="D78" s="645"/>
      <c r="E78" s="646"/>
      <c r="F78" s="197" t="s">
        <v>290</v>
      </c>
      <c r="G78" s="459" t="s">
        <v>291</v>
      </c>
      <c r="H78" s="651" t="str">
        <f>$A$49</f>
        <v xml:space="preserve">ATOMIC BLASTER      </v>
      </c>
      <c r="I78" s="651"/>
      <c r="J78" s="158" t="s">
        <v>39</v>
      </c>
      <c r="K78" s="147">
        <f>$P$30</f>
        <v>319</v>
      </c>
      <c r="L78" s="179">
        <v>0.1</v>
      </c>
      <c r="M78" s="159">
        <f t="shared" ref="M78:M79" si="50">K78*L78</f>
        <v>31.900000000000002</v>
      </c>
      <c r="N78" s="159"/>
      <c r="O78" s="160">
        <f t="shared" ref="O78:O79" si="51">SUM(M78:N78)</f>
        <v>31.900000000000002</v>
      </c>
      <c r="P78" s="180"/>
    </row>
    <row r="79" spans="1:16" s="161" customFormat="1" ht="51" customHeight="1">
      <c r="A79" s="135">
        <v>5</v>
      </c>
      <c r="B79" s="644" t="s">
        <v>289</v>
      </c>
      <c r="C79" s="645"/>
      <c r="D79" s="645"/>
      <c r="E79" s="646"/>
      <c r="F79" s="197" t="s">
        <v>290</v>
      </c>
      <c r="G79" s="459" t="s">
        <v>291</v>
      </c>
      <c r="H79" s="651" t="str">
        <f>$A$53</f>
        <v xml:space="preserve">OPTIC WHITE         </v>
      </c>
      <c r="I79" s="651"/>
      <c r="J79" s="158" t="s">
        <v>39</v>
      </c>
      <c r="K79" s="147">
        <f>$P$35</f>
        <v>318</v>
      </c>
      <c r="L79" s="179">
        <v>0.1</v>
      </c>
      <c r="M79" s="159">
        <f t="shared" si="50"/>
        <v>31.8</v>
      </c>
      <c r="N79" s="159"/>
      <c r="O79" s="160">
        <f t="shared" si="51"/>
        <v>31.8</v>
      </c>
      <c r="P79" s="180"/>
    </row>
    <row r="80" spans="1:16" s="161" customFormat="1" ht="70" customHeight="1">
      <c r="A80" s="135">
        <v>6</v>
      </c>
      <c r="B80" s="644" t="s">
        <v>292</v>
      </c>
      <c r="C80" s="645"/>
      <c r="D80" s="645"/>
      <c r="E80" s="646"/>
      <c r="F80" s="197" t="s">
        <v>285</v>
      </c>
      <c r="G80" s="192"/>
      <c r="H80" s="651" t="str">
        <f>$A$41</f>
        <v xml:space="preserve">DARKEST BLACK       </v>
      </c>
      <c r="I80" s="651"/>
      <c r="J80" s="158" t="s">
        <v>76</v>
      </c>
      <c r="K80" s="147">
        <f>$P$20</f>
        <v>319</v>
      </c>
      <c r="L80" s="179">
        <v>1</v>
      </c>
      <c r="M80" s="159">
        <f t="shared" si="37"/>
        <v>319</v>
      </c>
      <c r="N80" s="159"/>
      <c r="O80" s="160">
        <f t="shared" si="38"/>
        <v>319</v>
      </c>
      <c r="P80" s="684"/>
    </row>
    <row r="81" spans="1:16" s="161" customFormat="1" ht="70" customHeight="1">
      <c r="A81" s="135">
        <v>6</v>
      </c>
      <c r="B81" s="644" t="s">
        <v>292</v>
      </c>
      <c r="C81" s="645"/>
      <c r="D81" s="645"/>
      <c r="E81" s="646"/>
      <c r="F81" s="197" t="s">
        <v>285</v>
      </c>
      <c r="G81" s="192"/>
      <c r="H81" s="651" t="str">
        <f>$A$45</f>
        <v xml:space="preserve">HYPER LILAC         </v>
      </c>
      <c r="I81" s="651"/>
      <c r="J81" s="158" t="s">
        <v>76</v>
      </c>
      <c r="K81" s="147">
        <f>$P$25</f>
        <v>318</v>
      </c>
      <c r="L81" s="179">
        <v>1</v>
      </c>
      <c r="M81" s="159">
        <f t="shared" ref="M81:M83" si="52">K81*L81</f>
        <v>318</v>
      </c>
      <c r="N81" s="159"/>
      <c r="O81" s="160">
        <f t="shared" ref="O81:O83" si="53">SUM(M81:N81)</f>
        <v>318</v>
      </c>
      <c r="P81" s="684"/>
    </row>
    <row r="82" spans="1:16" s="161" customFormat="1" ht="72.650000000000006" customHeight="1">
      <c r="A82" s="135">
        <v>6</v>
      </c>
      <c r="B82" s="644" t="s">
        <v>292</v>
      </c>
      <c r="C82" s="645"/>
      <c r="D82" s="645"/>
      <c r="E82" s="646"/>
      <c r="F82" s="197" t="s">
        <v>285</v>
      </c>
      <c r="G82" s="192"/>
      <c r="H82" s="651" t="str">
        <f>$A$49</f>
        <v xml:space="preserve">ATOMIC BLASTER      </v>
      </c>
      <c r="I82" s="651"/>
      <c r="J82" s="158" t="s">
        <v>76</v>
      </c>
      <c r="K82" s="147">
        <f>$P$30</f>
        <v>319</v>
      </c>
      <c r="L82" s="179">
        <v>1</v>
      </c>
      <c r="M82" s="159">
        <f t="shared" si="52"/>
        <v>319</v>
      </c>
      <c r="N82" s="159"/>
      <c r="O82" s="160">
        <f t="shared" si="53"/>
        <v>319</v>
      </c>
      <c r="P82" s="684"/>
    </row>
    <row r="83" spans="1:16" s="161" customFormat="1" ht="72.650000000000006" customHeight="1">
      <c r="A83" s="135">
        <v>6</v>
      </c>
      <c r="B83" s="644" t="s">
        <v>292</v>
      </c>
      <c r="C83" s="645"/>
      <c r="D83" s="645"/>
      <c r="E83" s="646"/>
      <c r="F83" s="197" t="s">
        <v>285</v>
      </c>
      <c r="G83" s="192"/>
      <c r="H83" s="651" t="str">
        <f>$A$53</f>
        <v xml:space="preserve">OPTIC WHITE         </v>
      </c>
      <c r="I83" s="651"/>
      <c r="J83" s="158" t="s">
        <v>76</v>
      </c>
      <c r="K83" s="147">
        <f>$P$35</f>
        <v>318</v>
      </c>
      <c r="L83" s="179">
        <v>1</v>
      </c>
      <c r="M83" s="159">
        <f t="shared" si="52"/>
        <v>318</v>
      </c>
      <c r="N83" s="159"/>
      <c r="O83" s="160">
        <f t="shared" si="53"/>
        <v>318</v>
      </c>
      <c r="P83" s="684"/>
    </row>
    <row r="84" spans="1:16" s="161" customFormat="1" ht="67.5" customHeight="1">
      <c r="A84" s="135">
        <v>7</v>
      </c>
      <c r="B84" s="640" t="s">
        <v>293</v>
      </c>
      <c r="C84" s="641"/>
      <c r="D84" s="641"/>
      <c r="E84" s="642"/>
      <c r="F84" s="460" t="s">
        <v>285</v>
      </c>
      <c r="G84" s="699"/>
      <c r="H84" s="480" t="str">
        <f>$A$41</f>
        <v xml:space="preserve">DARKEST BLACK       </v>
      </c>
      <c r="I84" s="481"/>
      <c r="J84" s="158" t="s">
        <v>76</v>
      </c>
      <c r="K84" s="147">
        <f>$P$20</f>
        <v>319</v>
      </c>
      <c r="L84" s="179">
        <v>1</v>
      </c>
      <c r="M84" s="159">
        <f t="shared" ref="M84:M87" si="54">K84*L84</f>
        <v>319</v>
      </c>
      <c r="N84" s="159"/>
      <c r="O84" s="160">
        <f t="shared" ref="O84:O87" si="55">SUM(M84:N84)</f>
        <v>319</v>
      </c>
      <c r="P84" s="461" t="s">
        <v>294</v>
      </c>
    </row>
    <row r="85" spans="1:16" s="161" customFormat="1" ht="67.5" customHeight="1">
      <c r="A85" s="135">
        <v>7</v>
      </c>
      <c r="B85" s="640" t="s">
        <v>293</v>
      </c>
      <c r="C85" s="641"/>
      <c r="D85" s="641"/>
      <c r="E85" s="642"/>
      <c r="F85" s="460" t="s">
        <v>285</v>
      </c>
      <c r="G85" s="700"/>
      <c r="H85" s="480" t="str">
        <f>$A$45</f>
        <v xml:space="preserve">HYPER LILAC         </v>
      </c>
      <c r="I85" s="481"/>
      <c r="J85" s="158" t="s">
        <v>76</v>
      </c>
      <c r="K85" s="147">
        <f>$P$25</f>
        <v>318</v>
      </c>
      <c r="L85" s="179">
        <v>1</v>
      </c>
      <c r="M85" s="159">
        <f t="shared" si="54"/>
        <v>318</v>
      </c>
      <c r="N85" s="159"/>
      <c r="O85" s="160">
        <f t="shared" si="55"/>
        <v>318</v>
      </c>
      <c r="P85" s="461" t="s">
        <v>294</v>
      </c>
    </row>
    <row r="86" spans="1:16" s="161" customFormat="1" ht="75" customHeight="1">
      <c r="A86" s="135">
        <v>7</v>
      </c>
      <c r="B86" s="640" t="s">
        <v>293</v>
      </c>
      <c r="C86" s="641"/>
      <c r="D86" s="641"/>
      <c r="E86" s="642"/>
      <c r="F86" s="460" t="s">
        <v>285</v>
      </c>
      <c r="G86" s="700"/>
      <c r="H86" s="480" t="str">
        <f>$A$49</f>
        <v xml:space="preserve">ATOMIC BLASTER      </v>
      </c>
      <c r="I86" s="481"/>
      <c r="J86" s="158" t="s">
        <v>76</v>
      </c>
      <c r="K86" s="147">
        <f>$P$30</f>
        <v>319</v>
      </c>
      <c r="L86" s="179">
        <v>1</v>
      </c>
      <c r="M86" s="159">
        <f t="shared" si="54"/>
        <v>319</v>
      </c>
      <c r="N86" s="159"/>
      <c r="O86" s="160">
        <f t="shared" si="55"/>
        <v>319</v>
      </c>
      <c r="P86" s="461" t="s">
        <v>294</v>
      </c>
    </row>
    <row r="87" spans="1:16" s="161" customFormat="1" ht="75" customHeight="1">
      <c r="A87" s="135">
        <v>7</v>
      </c>
      <c r="B87" s="643" t="s">
        <v>293</v>
      </c>
      <c r="C87" s="643"/>
      <c r="D87" s="643"/>
      <c r="E87" s="643"/>
      <c r="F87" s="197" t="s">
        <v>285</v>
      </c>
      <c r="G87" s="701"/>
      <c r="H87" s="480" t="str">
        <f>$A$53</f>
        <v xml:space="preserve">OPTIC WHITE         </v>
      </c>
      <c r="I87" s="481"/>
      <c r="J87" s="158" t="s">
        <v>76</v>
      </c>
      <c r="K87" s="147">
        <f>$P$35</f>
        <v>318</v>
      </c>
      <c r="L87" s="179">
        <v>1</v>
      </c>
      <c r="M87" s="159">
        <f t="shared" si="54"/>
        <v>318</v>
      </c>
      <c r="N87" s="159"/>
      <c r="O87" s="160">
        <f t="shared" si="55"/>
        <v>318</v>
      </c>
      <c r="P87" s="198" t="s">
        <v>294</v>
      </c>
    </row>
    <row r="88" spans="1:16" s="51" customFormat="1" ht="20.25" customHeight="1">
      <c r="A88" s="48"/>
      <c r="B88" s="48"/>
      <c r="C88" s="48"/>
      <c r="D88" s="48"/>
      <c r="E88" s="48"/>
      <c r="F88" s="48"/>
      <c r="G88" s="52"/>
      <c r="H88" s="48"/>
      <c r="I88" s="48"/>
      <c r="J88" s="48"/>
      <c r="K88" s="48"/>
      <c r="L88" s="48"/>
      <c r="M88" s="48"/>
      <c r="N88" s="48"/>
      <c r="O88" s="48"/>
      <c r="P88" s="48"/>
    </row>
    <row r="89" spans="1:16" s="53" customFormat="1" ht="33" customHeight="1" thickBot="1">
      <c r="B89" s="129" t="s">
        <v>295</v>
      </c>
      <c r="C89" s="54"/>
      <c r="D89" s="54"/>
      <c r="E89" s="163"/>
      <c r="F89" s="164"/>
      <c r="G89" s="165"/>
      <c r="H89" s="164"/>
      <c r="I89" s="164"/>
      <c r="J89" s="164"/>
      <c r="K89" s="164"/>
      <c r="L89" s="164"/>
      <c r="M89" s="164"/>
      <c r="N89" s="164"/>
      <c r="O89" s="164"/>
      <c r="P89" s="166"/>
    </row>
    <row r="90" spans="1:16" s="67" customFormat="1" ht="96">
      <c r="A90" s="637" t="s">
        <v>65</v>
      </c>
      <c r="B90" s="638"/>
      <c r="C90" s="638"/>
      <c r="D90" s="638"/>
      <c r="E90" s="639"/>
      <c r="F90" s="115" t="s">
        <v>66</v>
      </c>
      <c r="G90" s="115" t="s">
        <v>67</v>
      </c>
      <c r="H90" s="668" t="s">
        <v>68</v>
      </c>
      <c r="I90" s="669"/>
      <c r="J90" s="116" t="s">
        <v>55</v>
      </c>
      <c r="K90" s="115" t="s">
        <v>69</v>
      </c>
      <c r="L90" s="115" t="s">
        <v>70</v>
      </c>
      <c r="M90" s="117" t="s">
        <v>71</v>
      </c>
      <c r="N90" s="117" t="s">
        <v>72</v>
      </c>
      <c r="O90" s="117" t="s">
        <v>73</v>
      </c>
      <c r="P90" s="117" t="s">
        <v>74</v>
      </c>
    </row>
    <row r="91" spans="1:16" s="146" customFormat="1" ht="52.5" customHeight="1">
      <c r="A91" s="135">
        <v>1</v>
      </c>
      <c r="B91" s="477" t="s">
        <v>296</v>
      </c>
      <c r="C91" s="478"/>
      <c r="D91" s="478"/>
      <c r="E91" s="479"/>
      <c r="F91" s="199" t="s">
        <v>85</v>
      </c>
      <c r="G91" s="191" t="s">
        <v>297</v>
      </c>
      <c r="H91" s="651" t="str">
        <f t="shared" ref="H91:H95" si="56">$A$41</f>
        <v xml:space="preserve">DARKEST BLACK       </v>
      </c>
      <c r="I91" s="651"/>
      <c r="J91" s="147" t="s">
        <v>76</v>
      </c>
      <c r="K91" s="147">
        <f>$P$20</f>
        <v>319</v>
      </c>
      <c r="L91" s="143">
        <v>1</v>
      </c>
      <c r="M91" s="147">
        <f>K91*L91</f>
        <v>319</v>
      </c>
      <c r="N91" s="144"/>
      <c r="O91" s="145">
        <f t="shared" ref="O91:O92" si="57">ROUNDUP(SUM(M91:N91),0)</f>
        <v>319</v>
      </c>
      <c r="P91" s="666"/>
    </row>
    <row r="92" spans="1:16" s="146" customFormat="1" ht="52.5" customHeight="1">
      <c r="A92" s="135">
        <v>1</v>
      </c>
      <c r="B92" s="477" t="s">
        <v>296</v>
      </c>
      <c r="C92" s="478"/>
      <c r="D92" s="478"/>
      <c r="E92" s="479"/>
      <c r="F92" s="199" t="s">
        <v>85</v>
      </c>
      <c r="G92" s="191" t="s">
        <v>297</v>
      </c>
      <c r="H92" s="651" t="str">
        <f t="shared" ref="H92:H96" si="58">$A$45</f>
        <v xml:space="preserve">HYPER LILAC         </v>
      </c>
      <c r="I92" s="651"/>
      <c r="J92" s="147" t="s">
        <v>76</v>
      </c>
      <c r="K92" s="147">
        <f>$P$25</f>
        <v>318</v>
      </c>
      <c r="L92" s="143">
        <v>1</v>
      </c>
      <c r="M92" s="147">
        <f t="shared" ref="M92" si="59">K92*L92</f>
        <v>318</v>
      </c>
      <c r="N92" s="144"/>
      <c r="O92" s="145">
        <f t="shared" si="57"/>
        <v>318</v>
      </c>
      <c r="P92" s="666"/>
    </row>
    <row r="93" spans="1:16" s="146" customFormat="1" ht="52.5" customHeight="1">
      <c r="A93" s="135">
        <v>1</v>
      </c>
      <c r="B93" s="477" t="s">
        <v>296</v>
      </c>
      <c r="C93" s="478"/>
      <c r="D93" s="478"/>
      <c r="E93" s="479"/>
      <c r="F93" s="199" t="s">
        <v>85</v>
      </c>
      <c r="G93" s="191" t="s">
        <v>297</v>
      </c>
      <c r="H93" s="651" t="str">
        <f>$A$49</f>
        <v xml:space="preserve">ATOMIC BLASTER      </v>
      </c>
      <c r="I93" s="651"/>
      <c r="J93" s="147" t="s">
        <v>76</v>
      </c>
      <c r="K93" s="147">
        <f>$P$30</f>
        <v>319</v>
      </c>
      <c r="L93" s="143">
        <v>1</v>
      </c>
      <c r="M93" s="147">
        <f>K93*L93</f>
        <v>319</v>
      </c>
      <c r="N93" s="144"/>
      <c r="O93" s="145">
        <f t="shared" ref="O93:O94" si="60">ROUNDUP(SUM(M93:N93),0)</f>
        <v>319</v>
      </c>
      <c r="P93" s="666"/>
    </row>
    <row r="94" spans="1:16" s="146" customFormat="1" ht="52.5" customHeight="1">
      <c r="A94" s="135">
        <v>1</v>
      </c>
      <c r="B94" s="477" t="s">
        <v>296</v>
      </c>
      <c r="C94" s="478"/>
      <c r="D94" s="478"/>
      <c r="E94" s="479"/>
      <c r="F94" s="199" t="s">
        <v>85</v>
      </c>
      <c r="G94" s="191" t="s">
        <v>297</v>
      </c>
      <c r="H94" s="651" t="str">
        <f>$A$53</f>
        <v xml:space="preserve">OPTIC WHITE         </v>
      </c>
      <c r="I94" s="651"/>
      <c r="J94" s="147" t="s">
        <v>76</v>
      </c>
      <c r="K94" s="147">
        <f>$P$35</f>
        <v>318</v>
      </c>
      <c r="L94" s="143">
        <v>1</v>
      </c>
      <c r="M94" s="147">
        <f t="shared" ref="M94" si="61">K94*L94</f>
        <v>318</v>
      </c>
      <c r="N94" s="144"/>
      <c r="O94" s="145">
        <f t="shared" si="60"/>
        <v>318</v>
      </c>
      <c r="P94" s="666"/>
    </row>
    <row r="95" spans="1:16" s="146" customFormat="1" ht="52.5" customHeight="1">
      <c r="A95" s="135">
        <v>2</v>
      </c>
      <c r="B95" s="477" t="s">
        <v>298</v>
      </c>
      <c r="C95" s="478"/>
      <c r="D95" s="478"/>
      <c r="E95" s="479"/>
      <c r="F95" s="199" t="s">
        <v>85</v>
      </c>
      <c r="G95" s="190"/>
      <c r="H95" s="651" t="str">
        <f t="shared" si="56"/>
        <v xml:space="preserve">DARKEST BLACK       </v>
      </c>
      <c r="I95" s="651"/>
      <c r="J95" s="147" t="s">
        <v>76</v>
      </c>
      <c r="K95" s="147">
        <f>$P$20</f>
        <v>319</v>
      </c>
      <c r="L95" s="143">
        <v>1</v>
      </c>
      <c r="M95" s="147">
        <f t="shared" ref="M95:M120" si="62">K95*L95</f>
        <v>319</v>
      </c>
      <c r="N95" s="144"/>
      <c r="O95" s="145">
        <f t="shared" ref="O95:O120" si="63">ROUNDUP(SUM(M95:N95),0)</f>
        <v>319</v>
      </c>
      <c r="P95" s="666" t="s">
        <v>299</v>
      </c>
    </row>
    <row r="96" spans="1:16" s="146" customFormat="1" ht="52.5" customHeight="1">
      <c r="A96" s="135">
        <v>2</v>
      </c>
      <c r="B96" s="477" t="s">
        <v>298</v>
      </c>
      <c r="C96" s="478"/>
      <c r="D96" s="478"/>
      <c r="E96" s="479"/>
      <c r="F96" s="199" t="s">
        <v>85</v>
      </c>
      <c r="G96" s="190"/>
      <c r="H96" s="651" t="str">
        <f t="shared" si="58"/>
        <v xml:space="preserve">HYPER LILAC         </v>
      </c>
      <c r="I96" s="651"/>
      <c r="J96" s="147" t="s">
        <v>76</v>
      </c>
      <c r="K96" s="147">
        <f>$P$25</f>
        <v>318</v>
      </c>
      <c r="L96" s="143">
        <v>1</v>
      </c>
      <c r="M96" s="147">
        <f t="shared" si="62"/>
        <v>318</v>
      </c>
      <c r="N96" s="144"/>
      <c r="O96" s="145">
        <f t="shared" si="63"/>
        <v>318</v>
      </c>
      <c r="P96" s="666"/>
    </row>
    <row r="97" spans="1:16" s="146" customFormat="1" ht="52.5" customHeight="1">
      <c r="A97" s="135">
        <v>2</v>
      </c>
      <c r="B97" s="477" t="s">
        <v>298</v>
      </c>
      <c r="C97" s="478"/>
      <c r="D97" s="478"/>
      <c r="E97" s="479"/>
      <c r="F97" s="199" t="s">
        <v>85</v>
      </c>
      <c r="G97" s="190"/>
      <c r="H97" s="651" t="str">
        <f>$A$49</f>
        <v xml:space="preserve">ATOMIC BLASTER      </v>
      </c>
      <c r="I97" s="651"/>
      <c r="J97" s="147" t="s">
        <v>76</v>
      </c>
      <c r="K97" s="147">
        <f>$P$30</f>
        <v>319</v>
      </c>
      <c r="L97" s="143">
        <v>1</v>
      </c>
      <c r="M97" s="147">
        <f t="shared" ref="M97:M98" si="64">K97*L97</f>
        <v>319</v>
      </c>
      <c r="N97" s="144"/>
      <c r="O97" s="145">
        <f t="shared" ref="O97:O98" si="65">ROUNDUP(SUM(M97:N97),0)</f>
        <v>319</v>
      </c>
      <c r="P97" s="666"/>
    </row>
    <row r="98" spans="1:16" s="146" customFormat="1" ht="52.5" customHeight="1">
      <c r="A98" s="135">
        <v>2</v>
      </c>
      <c r="B98" s="477" t="s">
        <v>298</v>
      </c>
      <c r="C98" s="478"/>
      <c r="D98" s="478"/>
      <c r="E98" s="479"/>
      <c r="F98" s="199" t="s">
        <v>85</v>
      </c>
      <c r="G98" s="190"/>
      <c r="H98" s="651" t="str">
        <f>$A$53</f>
        <v xml:space="preserve">OPTIC WHITE         </v>
      </c>
      <c r="I98" s="651"/>
      <c r="J98" s="147" t="s">
        <v>76</v>
      </c>
      <c r="K98" s="147">
        <f>$P$35</f>
        <v>318</v>
      </c>
      <c r="L98" s="143">
        <v>1</v>
      </c>
      <c r="M98" s="147">
        <f t="shared" si="64"/>
        <v>318</v>
      </c>
      <c r="N98" s="144"/>
      <c r="O98" s="145">
        <f t="shared" si="65"/>
        <v>318</v>
      </c>
      <c r="P98" s="666"/>
    </row>
    <row r="99" spans="1:16" s="146" customFormat="1" ht="74.150000000000006" customHeight="1">
      <c r="A99" s="135">
        <v>3</v>
      </c>
      <c r="B99" s="477" t="s">
        <v>300</v>
      </c>
      <c r="C99" s="478"/>
      <c r="D99" s="478"/>
      <c r="E99" s="479"/>
      <c r="F99" s="199" t="s">
        <v>85</v>
      </c>
      <c r="G99" s="190"/>
      <c r="H99" s="651" t="str">
        <f t="shared" ref="H99:H103" si="66">$A$41</f>
        <v xml:space="preserve">DARKEST BLACK       </v>
      </c>
      <c r="I99" s="651"/>
      <c r="J99" s="147" t="s">
        <v>76</v>
      </c>
      <c r="K99" s="147">
        <f>$P$20</f>
        <v>319</v>
      </c>
      <c r="L99" s="143">
        <v>1</v>
      </c>
      <c r="M99" s="147">
        <f t="shared" si="62"/>
        <v>319</v>
      </c>
      <c r="N99" s="144"/>
      <c r="O99" s="145">
        <f t="shared" si="63"/>
        <v>319</v>
      </c>
      <c r="P99" s="666" t="s">
        <v>294</v>
      </c>
    </row>
    <row r="100" spans="1:16" s="146" customFormat="1" ht="74.150000000000006" customHeight="1">
      <c r="A100" s="135">
        <v>3</v>
      </c>
      <c r="B100" s="477" t="s">
        <v>300</v>
      </c>
      <c r="C100" s="478"/>
      <c r="D100" s="478"/>
      <c r="E100" s="479"/>
      <c r="F100" s="199" t="s">
        <v>85</v>
      </c>
      <c r="G100" s="190"/>
      <c r="H100" s="651" t="str">
        <f t="shared" ref="H100:H104" si="67">$A$45</f>
        <v xml:space="preserve">HYPER LILAC         </v>
      </c>
      <c r="I100" s="651"/>
      <c r="J100" s="147" t="s">
        <v>76</v>
      </c>
      <c r="K100" s="147">
        <f>$P$25</f>
        <v>318</v>
      </c>
      <c r="L100" s="143">
        <v>1</v>
      </c>
      <c r="M100" s="147">
        <f t="shared" si="62"/>
        <v>318</v>
      </c>
      <c r="N100" s="144"/>
      <c r="O100" s="145">
        <f t="shared" si="63"/>
        <v>318</v>
      </c>
      <c r="P100" s="666"/>
    </row>
    <row r="101" spans="1:16" s="146" customFormat="1" ht="69" customHeight="1">
      <c r="A101" s="135">
        <v>3</v>
      </c>
      <c r="B101" s="477" t="s">
        <v>300</v>
      </c>
      <c r="C101" s="478"/>
      <c r="D101" s="478"/>
      <c r="E101" s="479"/>
      <c r="F101" s="199" t="s">
        <v>85</v>
      </c>
      <c r="G101" s="190"/>
      <c r="H101" s="651" t="str">
        <f>$A$49</f>
        <v xml:space="preserve">ATOMIC BLASTER      </v>
      </c>
      <c r="I101" s="651"/>
      <c r="J101" s="147" t="s">
        <v>76</v>
      </c>
      <c r="K101" s="147">
        <f>$P$30</f>
        <v>319</v>
      </c>
      <c r="L101" s="143">
        <v>1</v>
      </c>
      <c r="M101" s="147">
        <f t="shared" ref="M101:M102" si="68">K101*L101</f>
        <v>319</v>
      </c>
      <c r="N101" s="144"/>
      <c r="O101" s="145">
        <f t="shared" ref="O101:O102" si="69">ROUNDUP(SUM(M101:N101),0)</f>
        <v>319</v>
      </c>
      <c r="P101" s="666"/>
    </row>
    <row r="102" spans="1:16" s="146" customFormat="1" ht="69" customHeight="1">
      <c r="A102" s="135">
        <v>3</v>
      </c>
      <c r="B102" s="477" t="s">
        <v>300</v>
      </c>
      <c r="C102" s="478"/>
      <c r="D102" s="478"/>
      <c r="E102" s="479"/>
      <c r="F102" s="199" t="s">
        <v>85</v>
      </c>
      <c r="G102" s="190"/>
      <c r="H102" s="651" t="str">
        <f>$A$53</f>
        <v xml:space="preserve">OPTIC WHITE         </v>
      </c>
      <c r="I102" s="651"/>
      <c r="J102" s="147" t="s">
        <v>76</v>
      </c>
      <c r="K102" s="147">
        <f>$P$35</f>
        <v>318</v>
      </c>
      <c r="L102" s="143">
        <v>1</v>
      </c>
      <c r="M102" s="147">
        <f t="shared" si="68"/>
        <v>318</v>
      </c>
      <c r="N102" s="144"/>
      <c r="O102" s="145">
        <f t="shared" si="69"/>
        <v>318</v>
      </c>
      <c r="P102" s="666"/>
    </row>
    <row r="103" spans="1:16" s="146" customFormat="1" ht="52.5" customHeight="1">
      <c r="A103" s="135">
        <v>4</v>
      </c>
      <c r="B103" s="477" t="s">
        <v>301</v>
      </c>
      <c r="C103" s="478"/>
      <c r="D103" s="478"/>
      <c r="E103" s="479"/>
      <c r="F103" s="199" t="s">
        <v>85</v>
      </c>
      <c r="G103" s="191">
        <v>102507</v>
      </c>
      <c r="H103" s="651" t="str">
        <f t="shared" si="66"/>
        <v xml:space="preserve">DARKEST BLACK       </v>
      </c>
      <c r="I103" s="651"/>
      <c r="J103" s="147" t="s">
        <v>76</v>
      </c>
      <c r="K103" s="147">
        <f>$P$20</f>
        <v>319</v>
      </c>
      <c r="L103" s="143">
        <v>1</v>
      </c>
      <c r="M103" s="147">
        <f t="shared" si="62"/>
        <v>319</v>
      </c>
      <c r="N103" s="144"/>
      <c r="O103" s="145">
        <f t="shared" si="63"/>
        <v>319</v>
      </c>
      <c r="P103" s="666"/>
    </row>
    <row r="104" spans="1:16" s="146" customFormat="1" ht="52.5" customHeight="1">
      <c r="A104" s="135">
        <v>4</v>
      </c>
      <c r="B104" s="477" t="s">
        <v>301</v>
      </c>
      <c r="C104" s="478"/>
      <c r="D104" s="478"/>
      <c r="E104" s="479"/>
      <c r="F104" s="199" t="s">
        <v>85</v>
      </c>
      <c r="G104" s="191">
        <v>102507</v>
      </c>
      <c r="H104" s="651" t="str">
        <f t="shared" si="67"/>
        <v xml:space="preserve">HYPER LILAC         </v>
      </c>
      <c r="I104" s="651"/>
      <c r="J104" s="147" t="s">
        <v>76</v>
      </c>
      <c r="K104" s="147">
        <f>$P$25</f>
        <v>318</v>
      </c>
      <c r="L104" s="143">
        <v>1</v>
      </c>
      <c r="M104" s="147">
        <f t="shared" si="62"/>
        <v>318</v>
      </c>
      <c r="N104" s="144"/>
      <c r="O104" s="145">
        <f t="shared" si="63"/>
        <v>318</v>
      </c>
      <c r="P104" s="666"/>
    </row>
    <row r="105" spans="1:16" s="146" customFormat="1" ht="52.5" customHeight="1">
      <c r="A105" s="135">
        <v>4</v>
      </c>
      <c r="B105" s="477" t="s">
        <v>301</v>
      </c>
      <c r="C105" s="478"/>
      <c r="D105" s="478"/>
      <c r="E105" s="479"/>
      <c r="F105" s="199" t="s">
        <v>85</v>
      </c>
      <c r="G105" s="191">
        <v>102507</v>
      </c>
      <c r="H105" s="651" t="str">
        <f>$A$49</f>
        <v xml:space="preserve">ATOMIC BLASTER      </v>
      </c>
      <c r="I105" s="651"/>
      <c r="J105" s="147" t="s">
        <v>76</v>
      </c>
      <c r="K105" s="147">
        <f>$P$30</f>
        <v>319</v>
      </c>
      <c r="L105" s="143">
        <v>1</v>
      </c>
      <c r="M105" s="147">
        <f t="shared" ref="M105:M106" si="70">K105*L105</f>
        <v>319</v>
      </c>
      <c r="N105" s="144"/>
      <c r="O105" s="145">
        <f t="shared" ref="O105:O106" si="71">ROUNDUP(SUM(M105:N105),0)</f>
        <v>319</v>
      </c>
      <c r="P105" s="666"/>
    </row>
    <row r="106" spans="1:16" s="146" customFormat="1" ht="52.5" customHeight="1">
      <c r="A106" s="135">
        <v>4</v>
      </c>
      <c r="B106" s="477" t="s">
        <v>301</v>
      </c>
      <c r="C106" s="478"/>
      <c r="D106" s="478"/>
      <c r="E106" s="479"/>
      <c r="F106" s="199" t="s">
        <v>85</v>
      </c>
      <c r="G106" s="191">
        <v>102507</v>
      </c>
      <c r="H106" s="651" t="str">
        <f>$A$53</f>
        <v xml:space="preserve">OPTIC WHITE         </v>
      </c>
      <c r="I106" s="651"/>
      <c r="J106" s="147" t="s">
        <v>76</v>
      </c>
      <c r="K106" s="147">
        <f>$P$35</f>
        <v>318</v>
      </c>
      <c r="L106" s="143">
        <v>1</v>
      </c>
      <c r="M106" s="147">
        <f t="shared" si="70"/>
        <v>318</v>
      </c>
      <c r="N106" s="144"/>
      <c r="O106" s="145">
        <f t="shared" si="71"/>
        <v>318</v>
      </c>
      <c r="P106" s="666"/>
    </row>
    <row r="107" spans="1:16" s="146" customFormat="1" ht="52.5" customHeight="1">
      <c r="A107" s="135">
        <v>5</v>
      </c>
      <c r="B107" s="477" t="s">
        <v>302</v>
      </c>
      <c r="C107" s="478"/>
      <c r="D107" s="478"/>
      <c r="E107" s="479"/>
      <c r="F107" s="199" t="s">
        <v>82</v>
      </c>
      <c r="G107" s="190"/>
      <c r="H107" s="651" t="str">
        <f t="shared" ref="H107:H111" si="72">$A$41</f>
        <v xml:space="preserve">DARKEST BLACK       </v>
      </c>
      <c r="I107" s="651"/>
      <c r="J107" s="147" t="s">
        <v>76</v>
      </c>
      <c r="K107" s="147">
        <f>$P$20</f>
        <v>319</v>
      </c>
      <c r="L107" s="143">
        <f>1/14</f>
        <v>7.1428571428571425E-2</v>
      </c>
      <c r="M107" s="143">
        <f t="shared" si="62"/>
        <v>22.785714285714285</v>
      </c>
      <c r="N107" s="144"/>
      <c r="O107" s="145">
        <f t="shared" si="63"/>
        <v>23</v>
      </c>
      <c r="P107" s="666"/>
    </row>
    <row r="108" spans="1:16" s="146" customFormat="1" ht="52.5" customHeight="1">
      <c r="A108" s="135">
        <v>5</v>
      </c>
      <c r="B108" s="477" t="s">
        <v>302</v>
      </c>
      <c r="C108" s="478"/>
      <c r="D108" s="478"/>
      <c r="E108" s="479"/>
      <c r="F108" s="199" t="s">
        <v>82</v>
      </c>
      <c r="G108" s="190"/>
      <c r="H108" s="651" t="str">
        <f t="shared" ref="H108:H112" si="73">$A$45</f>
        <v xml:space="preserve">HYPER LILAC         </v>
      </c>
      <c r="I108" s="651"/>
      <c r="J108" s="147" t="s">
        <v>76</v>
      </c>
      <c r="K108" s="147">
        <f>$P$25</f>
        <v>318</v>
      </c>
      <c r="L108" s="143">
        <f t="shared" ref="L108:L110" si="74">1/14</f>
        <v>7.1428571428571425E-2</v>
      </c>
      <c r="M108" s="143">
        <f t="shared" si="62"/>
        <v>22.714285714285712</v>
      </c>
      <c r="N108" s="144"/>
      <c r="O108" s="145">
        <f t="shared" si="63"/>
        <v>23</v>
      </c>
      <c r="P108" s="666"/>
    </row>
    <row r="109" spans="1:16" s="146" customFormat="1" ht="52.5" customHeight="1">
      <c r="A109" s="135">
        <v>5</v>
      </c>
      <c r="B109" s="477" t="s">
        <v>302</v>
      </c>
      <c r="C109" s="478"/>
      <c r="D109" s="478"/>
      <c r="E109" s="479"/>
      <c r="F109" s="199" t="s">
        <v>82</v>
      </c>
      <c r="G109" s="190"/>
      <c r="H109" s="651" t="str">
        <f>$A$49</f>
        <v xml:space="preserve">ATOMIC BLASTER      </v>
      </c>
      <c r="I109" s="651"/>
      <c r="J109" s="147" t="s">
        <v>76</v>
      </c>
      <c r="K109" s="147">
        <f>$P$30</f>
        <v>319</v>
      </c>
      <c r="L109" s="143">
        <f t="shared" si="74"/>
        <v>7.1428571428571425E-2</v>
      </c>
      <c r="M109" s="143">
        <f t="shared" ref="M109:M110" si="75">K109*L109</f>
        <v>22.785714285714285</v>
      </c>
      <c r="N109" s="144"/>
      <c r="O109" s="145">
        <f t="shared" ref="O109:O110" si="76">ROUNDUP(SUM(M109:N109),0)</f>
        <v>23</v>
      </c>
      <c r="P109" s="666"/>
    </row>
    <row r="110" spans="1:16" s="146" customFormat="1" ht="52.5" customHeight="1">
      <c r="A110" s="135">
        <v>5</v>
      </c>
      <c r="B110" s="477" t="s">
        <v>302</v>
      </c>
      <c r="C110" s="478"/>
      <c r="D110" s="478"/>
      <c r="E110" s="479"/>
      <c r="F110" s="199" t="s">
        <v>82</v>
      </c>
      <c r="G110" s="190"/>
      <c r="H110" s="651" t="str">
        <f>$A$53</f>
        <v xml:space="preserve">OPTIC WHITE         </v>
      </c>
      <c r="I110" s="651"/>
      <c r="J110" s="147" t="s">
        <v>76</v>
      </c>
      <c r="K110" s="147">
        <f>$P$35</f>
        <v>318</v>
      </c>
      <c r="L110" s="143">
        <f t="shared" si="74"/>
        <v>7.1428571428571425E-2</v>
      </c>
      <c r="M110" s="143">
        <f t="shared" si="75"/>
        <v>22.714285714285712</v>
      </c>
      <c r="N110" s="144"/>
      <c r="O110" s="145">
        <f t="shared" si="76"/>
        <v>23</v>
      </c>
      <c r="P110" s="666"/>
    </row>
    <row r="111" spans="1:16" s="146" customFormat="1" ht="52.5" customHeight="1">
      <c r="A111" s="135">
        <v>6</v>
      </c>
      <c r="B111" s="477" t="s">
        <v>303</v>
      </c>
      <c r="C111" s="478"/>
      <c r="D111" s="478"/>
      <c r="E111" s="479"/>
      <c r="F111" s="199" t="s">
        <v>82</v>
      </c>
      <c r="G111" s="190"/>
      <c r="H111" s="651" t="str">
        <f t="shared" si="72"/>
        <v xml:space="preserve">DARKEST BLACK       </v>
      </c>
      <c r="I111" s="651"/>
      <c r="J111" s="147" t="s">
        <v>76</v>
      </c>
      <c r="K111" s="147">
        <f>$P$20</f>
        <v>319</v>
      </c>
      <c r="L111" s="143">
        <f>2/14</f>
        <v>0.14285714285714285</v>
      </c>
      <c r="M111" s="143">
        <f t="shared" si="62"/>
        <v>45.571428571428569</v>
      </c>
      <c r="N111" s="144"/>
      <c r="O111" s="145">
        <f>ROUNDUP(SUM(M111:N111),0)+1</f>
        <v>47</v>
      </c>
      <c r="P111" s="666"/>
    </row>
    <row r="112" spans="1:16" s="146" customFormat="1" ht="52.5" customHeight="1">
      <c r="A112" s="135">
        <v>6</v>
      </c>
      <c r="B112" s="477" t="s">
        <v>303</v>
      </c>
      <c r="C112" s="478"/>
      <c r="D112" s="478"/>
      <c r="E112" s="479"/>
      <c r="F112" s="199" t="s">
        <v>82</v>
      </c>
      <c r="G112" s="190"/>
      <c r="H112" s="651" t="str">
        <f t="shared" si="73"/>
        <v xml:space="preserve">HYPER LILAC         </v>
      </c>
      <c r="I112" s="651"/>
      <c r="J112" s="147" t="s">
        <v>76</v>
      </c>
      <c r="K112" s="147">
        <f>$P$25</f>
        <v>318</v>
      </c>
      <c r="L112" s="143">
        <f t="shared" ref="L112:L114" si="77">2/14</f>
        <v>0.14285714285714285</v>
      </c>
      <c r="M112" s="143">
        <f t="shared" si="62"/>
        <v>45.428571428571423</v>
      </c>
      <c r="N112" s="144"/>
      <c r="O112" s="145">
        <f t="shared" si="63"/>
        <v>46</v>
      </c>
      <c r="P112" s="666"/>
    </row>
    <row r="113" spans="1:16" s="146" customFormat="1" ht="52.5" customHeight="1">
      <c r="A113" s="135">
        <v>6</v>
      </c>
      <c r="B113" s="477" t="s">
        <v>303</v>
      </c>
      <c r="C113" s="478"/>
      <c r="D113" s="478"/>
      <c r="E113" s="479"/>
      <c r="F113" s="199" t="s">
        <v>82</v>
      </c>
      <c r="G113" s="190"/>
      <c r="H113" s="651" t="str">
        <f>$A$49</f>
        <v xml:space="preserve">ATOMIC BLASTER      </v>
      </c>
      <c r="I113" s="651"/>
      <c r="J113" s="147" t="s">
        <v>76</v>
      </c>
      <c r="K113" s="147">
        <f>$P$30</f>
        <v>319</v>
      </c>
      <c r="L113" s="143">
        <f t="shared" si="77"/>
        <v>0.14285714285714285</v>
      </c>
      <c r="M113" s="143">
        <f t="shared" ref="M113:M114" si="78">K113*L113</f>
        <v>45.571428571428569</v>
      </c>
      <c r="N113" s="144"/>
      <c r="O113" s="145">
        <f>ROUNDUP(SUM(M113:N113),0)+1</f>
        <v>47</v>
      </c>
      <c r="P113" s="666"/>
    </row>
    <row r="114" spans="1:16" s="146" customFormat="1" ht="52.5" customHeight="1">
      <c r="A114" s="135">
        <v>6</v>
      </c>
      <c r="B114" s="477" t="s">
        <v>303</v>
      </c>
      <c r="C114" s="478"/>
      <c r="D114" s="478"/>
      <c r="E114" s="479"/>
      <c r="F114" s="199" t="s">
        <v>82</v>
      </c>
      <c r="G114" s="190"/>
      <c r="H114" s="651" t="str">
        <f>$A$53</f>
        <v xml:space="preserve">OPTIC WHITE         </v>
      </c>
      <c r="I114" s="651"/>
      <c r="J114" s="147" t="s">
        <v>76</v>
      </c>
      <c r="K114" s="147">
        <f>$P$35</f>
        <v>318</v>
      </c>
      <c r="L114" s="143">
        <f t="shared" si="77"/>
        <v>0.14285714285714285</v>
      </c>
      <c r="M114" s="143">
        <f t="shared" si="78"/>
        <v>45.428571428571423</v>
      </c>
      <c r="N114" s="144"/>
      <c r="O114" s="145">
        <f t="shared" ref="O114" si="79">ROUNDUP(SUM(M114:N114),0)</f>
        <v>46</v>
      </c>
      <c r="P114" s="666"/>
    </row>
    <row r="115" spans="1:16" s="146" customFormat="1" ht="52.5" customHeight="1">
      <c r="A115" s="135">
        <v>7</v>
      </c>
      <c r="B115" s="477" t="s">
        <v>304</v>
      </c>
      <c r="C115" s="478"/>
      <c r="D115" s="478"/>
      <c r="E115" s="479"/>
      <c r="F115" s="199" t="s">
        <v>80</v>
      </c>
      <c r="G115" s="190"/>
      <c r="H115" s="651" t="str">
        <f t="shared" ref="H115:H119" si="80">$A$41</f>
        <v xml:space="preserve">DARKEST BLACK       </v>
      </c>
      <c r="I115" s="651"/>
      <c r="J115" s="147" t="s">
        <v>76</v>
      </c>
      <c r="K115" s="147">
        <f>$P$20</f>
        <v>319</v>
      </c>
      <c r="L115" s="143">
        <f>1/14</f>
        <v>7.1428571428571425E-2</v>
      </c>
      <c r="M115" s="143">
        <f t="shared" si="62"/>
        <v>22.785714285714285</v>
      </c>
      <c r="N115" s="144"/>
      <c r="O115" s="145">
        <f t="shared" si="63"/>
        <v>23</v>
      </c>
      <c r="P115" s="666"/>
    </row>
    <row r="116" spans="1:16" s="146" customFormat="1" ht="52.5" customHeight="1">
      <c r="A116" s="135">
        <v>7</v>
      </c>
      <c r="B116" s="477" t="s">
        <v>304</v>
      </c>
      <c r="C116" s="478"/>
      <c r="D116" s="478"/>
      <c r="E116" s="479"/>
      <c r="F116" s="199" t="s">
        <v>80</v>
      </c>
      <c r="G116" s="190"/>
      <c r="H116" s="651" t="str">
        <f t="shared" ref="H116:H120" si="81">$A$45</f>
        <v xml:space="preserve">HYPER LILAC         </v>
      </c>
      <c r="I116" s="651"/>
      <c r="J116" s="147" t="s">
        <v>76</v>
      </c>
      <c r="K116" s="147">
        <f>$P$25</f>
        <v>318</v>
      </c>
      <c r="L116" s="143">
        <f t="shared" ref="L116:L118" si="82">1/14</f>
        <v>7.1428571428571425E-2</v>
      </c>
      <c r="M116" s="143">
        <f t="shared" si="62"/>
        <v>22.714285714285712</v>
      </c>
      <c r="N116" s="144"/>
      <c r="O116" s="145">
        <f t="shared" si="63"/>
        <v>23</v>
      </c>
      <c r="P116" s="666"/>
    </row>
    <row r="117" spans="1:16" s="146" customFormat="1" ht="45" customHeight="1">
      <c r="A117" s="135">
        <v>7</v>
      </c>
      <c r="B117" s="477" t="s">
        <v>304</v>
      </c>
      <c r="C117" s="478"/>
      <c r="D117" s="478"/>
      <c r="E117" s="479"/>
      <c r="F117" s="199" t="s">
        <v>80</v>
      </c>
      <c r="G117" s="190"/>
      <c r="H117" s="651" t="str">
        <f>$A$49</f>
        <v xml:space="preserve">ATOMIC BLASTER      </v>
      </c>
      <c r="I117" s="651"/>
      <c r="J117" s="147" t="s">
        <v>76</v>
      </c>
      <c r="K117" s="147">
        <f>$P$30</f>
        <v>319</v>
      </c>
      <c r="L117" s="143">
        <f t="shared" si="82"/>
        <v>7.1428571428571425E-2</v>
      </c>
      <c r="M117" s="143">
        <f t="shared" ref="M117:M118" si="83">K117*L117</f>
        <v>22.785714285714285</v>
      </c>
      <c r="N117" s="144"/>
      <c r="O117" s="145">
        <f t="shared" ref="O117:O118" si="84">ROUNDUP(SUM(M117:N117),0)</f>
        <v>23</v>
      </c>
      <c r="P117" s="666"/>
    </row>
    <row r="118" spans="1:16" s="146" customFormat="1" ht="45" customHeight="1">
      <c r="A118" s="135">
        <v>7</v>
      </c>
      <c r="B118" s="477" t="s">
        <v>304</v>
      </c>
      <c r="C118" s="478"/>
      <c r="D118" s="478"/>
      <c r="E118" s="479"/>
      <c r="F118" s="199" t="s">
        <v>80</v>
      </c>
      <c r="G118" s="190"/>
      <c r="H118" s="651" t="str">
        <f>$A$53</f>
        <v xml:space="preserve">OPTIC WHITE         </v>
      </c>
      <c r="I118" s="651"/>
      <c r="J118" s="147" t="s">
        <v>76</v>
      </c>
      <c r="K118" s="147">
        <f>$P$35</f>
        <v>318</v>
      </c>
      <c r="L118" s="143">
        <f t="shared" si="82"/>
        <v>7.1428571428571425E-2</v>
      </c>
      <c r="M118" s="143">
        <f t="shared" si="83"/>
        <v>22.714285714285712</v>
      </c>
      <c r="N118" s="144"/>
      <c r="O118" s="145">
        <f t="shared" si="84"/>
        <v>23</v>
      </c>
      <c r="P118" s="666"/>
    </row>
    <row r="119" spans="1:16" s="146" customFormat="1" ht="66.650000000000006" customHeight="1">
      <c r="A119" s="135">
        <v>8</v>
      </c>
      <c r="B119" s="477" t="s">
        <v>305</v>
      </c>
      <c r="C119" s="478"/>
      <c r="D119" s="478"/>
      <c r="E119" s="479"/>
      <c r="F119" s="199" t="s">
        <v>85</v>
      </c>
      <c r="G119" s="191" t="s">
        <v>306</v>
      </c>
      <c r="H119" s="651" t="str">
        <f t="shared" si="80"/>
        <v xml:space="preserve">DARKEST BLACK       </v>
      </c>
      <c r="I119" s="651"/>
      <c r="J119" s="147" t="s">
        <v>76</v>
      </c>
      <c r="K119" s="147">
        <f>$P$20</f>
        <v>319</v>
      </c>
      <c r="L119" s="143">
        <v>1</v>
      </c>
      <c r="M119" s="147">
        <f t="shared" si="62"/>
        <v>319</v>
      </c>
      <c r="N119" s="144"/>
      <c r="O119" s="145">
        <f t="shared" si="63"/>
        <v>319</v>
      </c>
      <c r="P119" s="200" t="s">
        <v>294</v>
      </c>
    </row>
    <row r="120" spans="1:16" s="146" customFormat="1" ht="66.650000000000006" customHeight="1">
      <c r="A120" s="135">
        <v>8</v>
      </c>
      <c r="B120" s="477" t="s">
        <v>305</v>
      </c>
      <c r="C120" s="478"/>
      <c r="D120" s="478"/>
      <c r="E120" s="479"/>
      <c r="F120" s="199" t="s">
        <v>85</v>
      </c>
      <c r="G120" s="191" t="s">
        <v>306</v>
      </c>
      <c r="H120" s="651" t="str">
        <f t="shared" si="81"/>
        <v xml:space="preserve">HYPER LILAC         </v>
      </c>
      <c r="I120" s="651"/>
      <c r="J120" s="147" t="s">
        <v>76</v>
      </c>
      <c r="K120" s="147">
        <f>$P$25</f>
        <v>318</v>
      </c>
      <c r="L120" s="143">
        <v>1</v>
      </c>
      <c r="M120" s="147">
        <f t="shared" si="62"/>
        <v>318</v>
      </c>
      <c r="N120" s="144"/>
      <c r="O120" s="145">
        <f t="shared" si="63"/>
        <v>318</v>
      </c>
      <c r="P120" s="200" t="s">
        <v>294</v>
      </c>
    </row>
    <row r="121" spans="1:16" s="146" customFormat="1" ht="71.5" customHeight="1">
      <c r="A121" s="135">
        <v>8</v>
      </c>
      <c r="B121" s="477" t="s">
        <v>305</v>
      </c>
      <c r="C121" s="478"/>
      <c r="D121" s="478"/>
      <c r="E121" s="479"/>
      <c r="F121" s="199" t="s">
        <v>85</v>
      </c>
      <c r="G121" s="191" t="s">
        <v>306</v>
      </c>
      <c r="H121" s="651" t="str">
        <f>$A$49</f>
        <v xml:space="preserve">ATOMIC BLASTER      </v>
      </c>
      <c r="I121" s="651"/>
      <c r="J121" s="147" t="s">
        <v>76</v>
      </c>
      <c r="K121" s="147">
        <f>$P$30</f>
        <v>319</v>
      </c>
      <c r="L121" s="143">
        <v>1</v>
      </c>
      <c r="M121" s="147">
        <f t="shared" ref="M121:M122" si="85">K121*L121</f>
        <v>319</v>
      </c>
      <c r="N121" s="144"/>
      <c r="O121" s="145">
        <f t="shared" ref="O121:O122" si="86">ROUNDUP(SUM(M121:N121),0)</f>
        <v>319</v>
      </c>
      <c r="P121" s="200" t="s">
        <v>294</v>
      </c>
    </row>
    <row r="122" spans="1:16" s="146" customFormat="1" ht="71.5" customHeight="1">
      <c r="A122" s="135">
        <v>8</v>
      </c>
      <c r="B122" s="477" t="s">
        <v>305</v>
      </c>
      <c r="C122" s="478"/>
      <c r="D122" s="478"/>
      <c r="E122" s="479"/>
      <c r="F122" s="199" t="s">
        <v>85</v>
      </c>
      <c r="G122" s="191" t="s">
        <v>306</v>
      </c>
      <c r="H122" s="651" t="str">
        <f>$A$53</f>
        <v xml:space="preserve">OPTIC WHITE         </v>
      </c>
      <c r="I122" s="651"/>
      <c r="J122" s="147" t="s">
        <v>76</v>
      </c>
      <c r="K122" s="147">
        <f>$P$35</f>
        <v>318</v>
      </c>
      <c r="L122" s="143">
        <v>1</v>
      </c>
      <c r="M122" s="147">
        <f t="shared" si="85"/>
        <v>318</v>
      </c>
      <c r="N122" s="144"/>
      <c r="O122" s="145">
        <f t="shared" si="86"/>
        <v>318</v>
      </c>
      <c r="P122" s="200" t="s">
        <v>294</v>
      </c>
    </row>
    <row r="123" spans="1:16" s="146" customFormat="1" ht="32.5" customHeight="1">
      <c r="F123" s="170"/>
      <c r="G123" s="171"/>
      <c r="H123" s="172"/>
      <c r="I123" s="172"/>
      <c r="J123" s="169"/>
      <c r="K123" s="169"/>
      <c r="L123" s="169"/>
      <c r="M123" s="169"/>
      <c r="N123" s="173"/>
      <c r="O123" s="174"/>
      <c r="P123" s="175"/>
    </row>
    <row r="124" spans="1:16" s="14" customFormat="1" ht="33" customHeight="1">
      <c r="B124" s="122" t="s">
        <v>307</v>
      </c>
      <c r="C124" s="123"/>
      <c r="D124" s="124"/>
      <c r="E124" s="124"/>
      <c r="F124" s="124"/>
      <c r="G124" s="125"/>
      <c r="H124" s="124"/>
      <c r="I124" s="124"/>
      <c r="J124" s="647" t="s">
        <v>308</v>
      </c>
      <c r="K124" s="647"/>
      <c r="L124" s="647"/>
      <c r="M124" s="647"/>
      <c r="N124" s="58"/>
      <c r="O124" s="58"/>
      <c r="P124" s="59"/>
    </row>
    <row r="125" spans="1:16" s="136" customFormat="1" ht="34.5" customHeight="1">
      <c r="A125" s="136">
        <v>1</v>
      </c>
      <c r="B125" s="137" t="s">
        <v>309</v>
      </c>
      <c r="C125" s="17"/>
      <c r="D125" s="14"/>
      <c r="E125" s="14"/>
      <c r="F125" s="14"/>
      <c r="G125" s="60"/>
      <c r="H125" s="60"/>
      <c r="I125" s="60"/>
      <c r="J125" s="60"/>
      <c r="K125" s="18"/>
      <c r="L125" s="60"/>
      <c r="M125" s="60"/>
      <c r="N125" s="60"/>
      <c r="O125" s="60"/>
      <c r="P125" s="60"/>
    </row>
    <row r="126" spans="1:16" s="136" customFormat="1" ht="19.5" customHeight="1">
      <c r="B126" s="137"/>
      <c r="C126" s="17"/>
      <c r="D126" s="14"/>
      <c r="E126" s="14"/>
      <c r="F126" s="14"/>
      <c r="G126" s="60"/>
      <c r="H126" s="60"/>
      <c r="I126" s="60"/>
      <c r="J126" s="60"/>
      <c r="K126" s="18"/>
      <c r="L126" s="60"/>
      <c r="M126" s="60"/>
      <c r="N126" s="60"/>
      <c r="O126" s="60"/>
      <c r="P126" s="60"/>
    </row>
    <row r="127" spans="1:16" s="14" customFormat="1" ht="34.5" customHeight="1">
      <c r="A127" s="136"/>
      <c r="B127" s="694" t="s">
        <v>95</v>
      </c>
      <c r="C127" s="694"/>
      <c r="D127" s="694"/>
      <c r="E127" s="694"/>
      <c r="F127" s="694"/>
      <c r="G127" s="694"/>
      <c r="H127" s="694"/>
      <c r="I127" s="694"/>
      <c r="J127" s="694"/>
      <c r="K127" s="18"/>
      <c r="L127" s="60"/>
      <c r="M127" s="60"/>
      <c r="N127" s="60"/>
      <c r="O127" s="60"/>
      <c r="P127" s="60"/>
    </row>
    <row r="128" spans="1:16" s="14" customFormat="1" ht="34.5" customHeight="1">
      <c r="A128" s="136"/>
      <c r="B128" s="138" t="s">
        <v>68</v>
      </c>
      <c r="C128" s="695" t="s">
        <v>96</v>
      </c>
      <c r="D128" s="695"/>
      <c r="E128" s="695"/>
      <c r="F128" s="695"/>
      <c r="G128" s="695"/>
      <c r="H128" s="695"/>
      <c r="I128" s="695"/>
      <c r="J128" s="695"/>
      <c r="K128" s="60"/>
      <c r="L128" s="60"/>
      <c r="M128" s="60"/>
      <c r="N128" s="60"/>
      <c r="O128" s="60"/>
      <c r="P128" s="60"/>
    </row>
    <row r="129" spans="1:16" s="60" customFormat="1" ht="67.5" customHeight="1">
      <c r="A129" s="148"/>
      <c r="B129" s="162" t="str">
        <f t="shared" ref="B129" si="87">$A$41</f>
        <v xml:space="preserve">DARKEST BLACK       </v>
      </c>
      <c r="C129" s="655"/>
      <c r="D129" s="655"/>
      <c r="E129" s="655"/>
      <c r="F129" s="655"/>
      <c r="G129" s="655"/>
      <c r="H129" s="655"/>
      <c r="I129" s="655"/>
      <c r="J129" s="655"/>
    </row>
    <row r="130" spans="1:16" s="60" customFormat="1" ht="67.5" customHeight="1">
      <c r="A130" s="148"/>
      <c r="B130" s="162" t="str">
        <f t="shared" ref="B130" si="88">$A$45</f>
        <v xml:space="preserve">HYPER LILAC         </v>
      </c>
      <c r="C130" s="655"/>
      <c r="D130" s="655"/>
      <c r="E130" s="655"/>
      <c r="F130" s="655"/>
      <c r="G130" s="655"/>
      <c r="H130" s="655"/>
      <c r="I130" s="655"/>
      <c r="J130" s="655"/>
    </row>
    <row r="131" spans="1:16" s="60" customFormat="1" ht="67.5" customHeight="1">
      <c r="A131" s="148"/>
      <c r="B131" s="162" t="str">
        <f>$A$49</f>
        <v xml:space="preserve">ATOMIC BLASTER      </v>
      </c>
      <c r="C131" s="652"/>
      <c r="D131" s="653"/>
      <c r="E131" s="653"/>
      <c r="F131" s="653"/>
      <c r="G131" s="653"/>
      <c r="H131" s="653"/>
      <c r="I131" s="653"/>
      <c r="J131" s="654"/>
    </row>
    <row r="132" spans="1:16" s="60" customFormat="1" ht="67.5" customHeight="1">
      <c r="A132" s="148"/>
      <c r="B132" s="162" t="str">
        <f>$A$53</f>
        <v xml:space="preserve">OPTIC WHITE         </v>
      </c>
      <c r="C132" s="655"/>
      <c r="D132" s="655"/>
      <c r="E132" s="655"/>
      <c r="F132" s="655"/>
      <c r="G132" s="655"/>
      <c r="H132" s="655"/>
      <c r="I132" s="655"/>
      <c r="J132" s="655"/>
    </row>
    <row r="133" spans="1:16" s="60" customFormat="1" ht="32.5">
      <c r="A133" s="148"/>
      <c r="B133" s="696" t="s">
        <v>310</v>
      </c>
      <c r="C133" s="697"/>
      <c r="D133" s="697"/>
      <c r="E133" s="697"/>
      <c r="F133" s="697"/>
      <c r="G133" s="697"/>
      <c r="H133" s="697"/>
      <c r="I133" s="697"/>
      <c r="J133" s="698"/>
    </row>
    <row r="134" spans="1:16" s="60" customFormat="1" ht="32.5">
      <c r="A134" s="148"/>
      <c r="B134" s="693" t="s">
        <v>117</v>
      </c>
      <c r="C134" s="693"/>
      <c r="D134" s="149" t="s">
        <v>255</v>
      </c>
      <c r="E134" s="149" t="s">
        <v>37</v>
      </c>
      <c r="F134" s="149" t="s">
        <v>38</v>
      </c>
      <c r="G134" s="149" t="s">
        <v>39</v>
      </c>
      <c r="H134" s="149" t="s">
        <v>40</v>
      </c>
      <c r="I134" s="702" t="s">
        <v>41</v>
      </c>
      <c r="J134" s="703"/>
    </row>
    <row r="135" spans="1:16" s="60" customFormat="1" ht="93" customHeight="1">
      <c r="A135" s="148"/>
      <c r="B135" s="477" t="s">
        <v>311</v>
      </c>
      <c r="C135" s="479"/>
      <c r="D135" s="690" t="s">
        <v>312</v>
      </c>
      <c r="E135" s="691"/>
      <c r="F135" s="691"/>
      <c r="G135" s="691"/>
      <c r="H135" s="691"/>
      <c r="I135" s="691"/>
      <c r="J135" s="692"/>
    </row>
    <row r="136" spans="1:16" s="60" customFormat="1" ht="100" customHeight="1">
      <c r="A136" s="148"/>
      <c r="B136" s="649" t="s">
        <v>313</v>
      </c>
      <c r="C136" s="650"/>
      <c r="D136" s="193"/>
      <c r="E136" s="193"/>
      <c r="F136" s="193">
        <v>5.7</v>
      </c>
      <c r="G136" s="193"/>
      <c r="H136" s="193"/>
      <c r="I136" s="688"/>
      <c r="J136" s="689"/>
    </row>
    <row r="137" spans="1:16" s="60" customFormat="1" ht="69.650000000000006" customHeight="1">
      <c r="A137" s="148"/>
      <c r="B137" s="649" t="s">
        <v>314</v>
      </c>
      <c r="C137" s="650"/>
      <c r="D137" s="193"/>
      <c r="E137" s="194"/>
      <c r="F137" s="194">
        <v>16.3</v>
      </c>
      <c r="G137" s="194"/>
      <c r="H137" s="194"/>
      <c r="I137" s="688"/>
      <c r="J137" s="689"/>
    </row>
    <row r="138" spans="1:16" s="14" customFormat="1" ht="34.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60"/>
      <c r="K138" s="60"/>
      <c r="L138" s="60"/>
      <c r="M138" s="60"/>
      <c r="N138" s="60"/>
      <c r="O138" s="60"/>
      <c r="P138" s="60"/>
    </row>
    <row r="139" spans="1:16" s="136" customFormat="1" ht="34.5" customHeight="1">
      <c r="A139" s="15">
        <v>2</v>
      </c>
      <c r="B139" s="137" t="s">
        <v>315</v>
      </c>
      <c r="C139" s="648" t="s">
        <v>102</v>
      </c>
      <c r="D139" s="648"/>
      <c r="E139" s="648"/>
      <c r="F139" s="648"/>
      <c r="G139" s="60"/>
      <c r="H139" s="60"/>
      <c r="I139" s="60"/>
      <c r="J139" s="60"/>
      <c r="K139" s="18"/>
      <c r="L139" s="60"/>
      <c r="M139" s="60"/>
      <c r="N139" s="60"/>
      <c r="O139" s="60"/>
      <c r="P139" s="60"/>
    </row>
    <row r="140" spans="1:16" s="136" customFormat="1" ht="34.5" customHeight="1">
      <c r="A140" s="15">
        <v>3</v>
      </c>
      <c r="B140" s="137" t="s">
        <v>316</v>
      </c>
      <c r="C140" s="17" t="s">
        <v>317</v>
      </c>
      <c r="D140" s="17"/>
      <c r="E140" s="17"/>
      <c r="F140" s="17"/>
      <c r="G140" s="60"/>
      <c r="H140" s="60"/>
      <c r="I140" s="60"/>
      <c r="J140" s="60"/>
      <c r="K140" s="18"/>
      <c r="L140" s="60"/>
      <c r="M140" s="60"/>
      <c r="N140" s="60"/>
      <c r="O140" s="60"/>
      <c r="P140" s="60"/>
    </row>
    <row r="141" spans="1:16" s="14" customFormat="1" ht="33.75" customHeight="1">
      <c r="A141" s="136"/>
      <c r="B141" s="136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</row>
    <row r="142" spans="1:16" s="14" customFormat="1" ht="29.25" customHeight="1">
      <c r="B142" s="647" t="s">
        <v>113</v>
      </c>
      <c r="C142" s="647"/>
      <c r="D142" s="647"/>
      <c r="E142" s="647"/>
      <c r="G142" s="60"/>
      <c r="M142" s="59"/>
      <c r="N142" s="58"/>
      <c r="O142" s="58"/>
      <c r="P142" s="59"/>
    </row>
    <row r="143" spans="1:16" s="14" customFormat="1" ht="35.25" customHeight="1">
      <c r="A143" s="136">
        <v>1</v>
      </c>
      <c r="B143" s="139" t="s">
        <v>318</v>
      </c>
      <c r="C143" s="136"/>
      <c r="D143" s="136"/>
      <c r="G143" s="60"/>
      <c r="M143" s="59"/>
      <c r="N143" s="58"/>
      <c r="O143" s="58"/>
      <c r="P143" s="59"/>
    </row>
    <row r="144" spans="1:16" s="14" customFormat="1" ht="35.25" customHeight="1">
      <c r="A144" s="136">
        <v>2</v>
      </c>
      <c r="B144" s="139" t="s">
        <v>115</v>
      </c>
      <c r="C144" s="136"/>
      <c r="D144" s="136"/>
      <c r="G144" s="60"/>
      <c r="M144" s="59"/>
      <c r="N144" s="58"/>
      <c r="O144" s="58"/>
      <c r="P144" s="59"/>
    </row>
    <row r="145" spans="1:16" s="14" customFormat="1" ht="35.15" customHeight="1">
      <c r="A145" s="136">
        <v>3</v>
      </c>
      <c r="B145" s="139" t="s">
        <v>116</v>
      </c>
      <c r="C145" s="136"/>
      <c r="D145" s="136"/>
      <c r="G145" s="60"/>
      <c r="M145" s="59"/>
      <c r="N145" s="58"/>
      <c r="O145" s="58"/>
      <c r="P145" s="59"/>
    </row>
    <row r="146" spans="1:16" s="17" customFormat="1" ht="32.5">
      <c r="A146" s="15"/>
      <c r="B146" s="61" t="s">
        <v>117</v>
      </c>
      <c r="C146" s="62" t="s">
        <v>255</v>
      </c>
      <c r="D146" s="62" t="s">
        <v>37</v>
      </c>
      <c r="E146" s="62" t="s">
        <v>38</v>
      </c>
      <c r="F146" s="62" t="s">
        <v>39</v>
      </c>
      <c r="G146" s="62" t="s">
        <v>40</v>
      </c>
      <c r="H146" s="62" t="s">
        <v>41</v>
      </c>
      <c r="J146" s="63"/>
      <c r="K146" s="64"/>
      <c r="L146" s="64"/>
      <c r="M146" s="63"/>
    </row>
    <row r="147" spans="1:16" s="17" customFormat="1" ht="32.5">
      <c r="A147" s="15"/>
      <c r="B147" s="61" t="s">
        <v>118</v>
      </c>
      <c r="C147" s="57">
        <f t="shared" ref="C147:H147" si="89">G37</f>
        <v>58</v>
      </c>
      <c r="D147" s="57">
        <f t="shared" si="89"/>
        <v>324</v>
      </c>
      <c r="E147" s="57">
        <f t="shared" si="89"/>
        <v>404</v>
      </c>
      <c r="F147" s="57">
        <f t="shared" si="89"/>
        <v>288</v>
      </c>
      <c r="G147" s="57">
        <f t="shared" si="89"/>
        <v>172</v>
      </c>
      <c r="H147" s="57">
        <f t="shared" si="89"/>
        <v>28</v>
      </c>
      <c r="J147" s="63"/>
      <c r="K147" s="64"/>
      <c r="L147" s="64"/>
      <c r="M147" s="63"/>
    </row>
    <row r="148" spans="1:16" s="151" customFormat="1" ht="71">
      <c r="B148" s="150" t="s">
        <v>319</v>
      </c>
      <c r="C148" s="150" t="s">
        <v>320</v>
      </c>
      <c r="G148" s="152"/>
    </row>
    <row r="149" spans="1:16" s="151" customFormat="1" ht="71">
      <c r="B149" s="150"/>
      <c r="C149" s="150" t="s">
        <v>321</v>
      </c>
      <c r="G149" s="152"/>
    </row>
    <row r="150" spans="1:16" s="140" customFormat="1" ht="32.5">
      <c r="G150" s="141"/>
    </row>
    <row r="151" spans="1:16" s="140" customFormat="1" ht="32.5">
      <c r="G151" s="141"/>
    </row>
    <row r="152" spans="1:16" s="140" customFormat="1" ht="32.5">
      <c r="G152" s="141"/>
    </row>
    <row r="153" spans="1:16" s="140" customFormat="1" ht="32.5">
      <c r="G153" s="141"/>
    </row>
    <row r="154" spans="1:16" s="140" customFormat="1" ht="32.5">
      <c r="G154" s="141"/>
    </row>
    <row r="155" spans="1:16" s="140" customFormat="1" ht="32.5">
      <c r="G155" s="141"/>
    </row>
    <row r="156" spans="1:16" s="140" customFormat="1" ht="32.5">
      <c r="G156" s="141"/>
    </row>
    <row r="157" spans="1:16" s="140" customFormat="1" ht="32.5">
      <c r="G157" s="141"/>
    </row>
    <row r="158" spans="1:16" s="140" customFormat="1" ht="32.5">
      <c r="G158" s="141"/>
    </row>
    <row r="159" spans="1:16" s="140" customFormat="1" ht="32.5">
      <c r="G159" s="141"/>
    </row>
    <row r="160" spans="1:16" s="140" customFormat="1" ht="32.5">
      <c r="G160" s="141"/>
    </row>
    <row r="161" spans="7:7" s="140" customFormat="1" ht="32.5">
      <c r="G161" s="141"/>
    </row>
    <row r="162" spans="7:7" s="140" customFormat="1" ht="32.5">
      <c r="G162" s="141"/>
    </row>
    <row r="163" spans="7:7" s="140" customFormat="1" ht="32.5">
      <c r="G163" s="141"/>
    </row>
    <row r="164" spans="7:7" s="140" customFormat="1" ht="32.5">
      <c r="G164" s="141"/>
    </row>
    <row r="165" spans="7:7" s="140" customFormat="1" ht="32.5">
      <c r="G165" s="141"/>
    </row>
    <row r="166" spans="7:7" s="140" customFormat="1" ht="32.5">
      <c r="G166" s="141"/>
    </row>
    <row r="167" spans="7:7" s="140" customFormat="1" ht="32.5">
      <c r="G167" s="141"/>
    </row>
    <row r="168" spans="7:7" s="140" customFormat="1" ht="32.5">
      <c r="G168" s="141"/>
    </row>
    <row r="169" spans="7:7" s="140" customFormat="1" ht="32.5">
      <c r="G169" s="141"/>
    </row>
    <row r="170" spans="7:7" s="140" customFormat="1" ht="32.5">
      <c r="G170" s="141"/>
    </row>
  </sheetData>
  <mergeCells count="196">
    <mergeCell ref="B108:E108"/>
    <mergeCell ref="B109:E109"/>
    <mergeCell ref="B110:E110"/>
    <mergeCell ref="B111:E111"/>
    <mergeCell ref="B112:E112"/>
    <mergeCell ref="B113:E113"/>
    <mergeCell ref="B114:E114"/>
    <mergeCell ref="I134:J134"/>
    <mergeCell ref="I136:J136"/>
    <mergeCell ref="H112:I112"/>
    <mergeCell ref="H109:I109"/>
    <mergeCell ref="H110:I110"/>
    <mergeCell ref="I137:J137"/>
    <mergeCell ref="D135:J135"/>
    <mergeCell ref="B134:C134"/>
    <mergeCell ref="B127:J127"/>
    <mergeCell ref="C128:J128"/>
    <mergeCell ref="B133:J133"/>
    <mergeCell ref="J124:M124"/>
    <mergeCell ref="H120:I120"/>
    <mergeCell ref="P72:P75"/>
    <mergeCell ref="H74:I74"/>
    <mergeCell ref="H75:I75"/>
    <mergeCell ref="H72:I72"/>
    <mergeCell ref="H96:I96"/>
    <mergeCell ref="H99:I99"/>
    <mergeCell ref="H100:I100"/>
    <mergeCell ref="G84:G87"/>
    <mergeCell ref="H73:I73"/>
    <mergeCell ref="P103:P106"/>
    <mergeCell ref="P107:P110"/>
    <mergeCell ref="P111:P114"/>
    <mergeCell ref="P115:P118"/>
    <mergeCell ref="H113:I113"/>
    <mergeCell ref="H114:I114"/>
    <mergeCell ref="H111:I111"/>
    <mergeCell ref="G64:G67"/>
    <mergeCell ref="B43:C43"/>
    <mergeCell ref="M43:P43"/>
    <mergeCell ref="B47:C47"/>
    <mergeCell ref="M47:P47"/>
    <mergeCell ref="B52:C52"/>
    <mergeCell ref="M52:P52"/>
    <mergeCell ref="B56:C56"/>
    <mergeCell ref="M56:P56"/>
    <mergeCell ref="B44:C44"/>
    <mergeCell ref="P64:P67"/>
    <mergeCell ref="P60:P63"/>
    <mergeCell ref="A49:P49"/>
    <mergeCell ref="H67:I67"/>
    <mergeCell ref="M44:P44"/>
    <mergeCell ref="B61:E61"/>
    <mergeCell ref="B62:E62"/>
    <mergeCell ref="B63:E63"/>
    <mergeCell ref="B64:E64"/>
    <mergeCell ref="B65:E65"/>
    <mergeCell ref="B66:E66"/>
    <mergeCell ref="B67:E67"/>
    <mergeCell ref="H107:I107"/>
    <mergeCell ref="H108:I108"/>
    <mergeCell ref="H105:I105"/>
    <mergeCell ref="H106:I106"/>
    <mergeCell ref="H103:I103"/>
    <mergeCell ref="H104:I104"/>
    <mergeCell ref="P95:P98"/>
    <mergeCell ref="P99:P102"/>
    <mergeCell ref="H94:I94"/>
    <mergeCell ref="H102:I102"/>
    <mergeCell ref="H98:I98"/>
    <mergeCell ref="H101:I101"/>
    <mergeCell ref="H91:I91"/>
    <mergeCell ref="H93:I93"/>
    <mergeCell ref="P80:P83"/>
    <mergeCell ref="H84:I84"/>
    <mergeCell ref="H85:I85"/>
    <mergeCell ref="H86:I86"/>
    <mergeCell ref="H87:I87"/>
    <mergeCell ref="H92:I92"/>
    <mergeCell ref="H97:I97"/>
    <mergeCell ref="H95:I95"/>
    <mergeCell ref="P91:P94"/>
    <mergeCell ref="H90:I90"/>
    <mergeCell ref="H81:I81"/>
    <mergeCell ref="H82:I82"/>
    <mergeCell ref="H83:I83"/>
    <mergeCell ref="H80:I80"/>
    <mergeCell ref="B13:F13"/>
    <mergeCell ref="A40:C40"/>
    <mergeCell ref="G5:L8"/>
    <mergeCell ref="L11:P11"/>
    <mergeCell ref="H71:I71"/>
    <mergeCell ref="H64:I64"/>
    <mergeCell ref="H68:I68"/>
    <mergeCell ref="H61:I61"/>
    <mergeCell ref="H63:I63"/>
    <mergeCell ref="H62:I62"/>
    <mergeCell ref="H65:I65"/>
    <mergeCell ref="H66:I66"/>
    <mergeCell ref="H69:I69"/>
    <mergeCell ref="H70:I70"/>
    <mergeCell ref="P68:P71"/>
    <mergeCell ref="B50:C50"/>
    <mergeCell ref="B51:C51"/>
    <mergeCell ref="A53:P53"/>
    <mergeCell ref="M54:P54"/>
    <mergeCell ref="M55:P55"/>
    <mergeCell ref="B54:C54"/>
    <mergeCell ref="B55:C55"/>
    <mergeCell ref="M50:P50"/>
    <mergeCell ref="B60:E60"/>
    <mergeCell ref="G72:G75"/>
    <mergeCell ref="H60:I60"/>
    <mergeCell ref="H78:I78"/>
    <mergeCell ref="H79:I79"/>
    <mergeCell ref="H76:I76"/>
    <mergeCell ref="H77:I77"/>
    <mergeCell ref="M1:N1"/>
    <mergeCell ref="O1:P1"/>
    <mergeCell ref="M2:N2"/>
    <mergeCell ref="O2:P2"/>
    <mergeCell ref="M3:N3"/>
    <mergeCell ref="O3:P3"/>
    <mergeCell ref="A41:P41"/>
    <mergeCell ref="M40:P40"/>
    <mergeCell ref="M42:P42"/>
    <mergeCell ref="H59:I59"/>
    <mergeCell ref="A45:P45"/>
    <mergeCell ref="B46:C46"/>
    <mergeCell ref="M46:P46"/>
    <mergeCell ref="B48:C48"/>
    <mergeCell ref="M48:P48"/>
    <mergeCell ref="B42:C42"/>
    <mergeCell ref="A59:E59"/>
    <mergeCell ref="M51:P51"/>
    <mergeCell ref="B142:E142"/>
    <mergeCell ref="C139:F139"/>
    <mergeCell ref="B135:C135"/>
    <mergeCell ref="B136:C136"/>
    <mergeCell ref="B137:C137"/>
    <mergeCell ref="H117:I117"/>
    <mergeCell ref="H118:I118"/>
    <mergeCell ref="H115:I115"/>
    <mergeCell ref="H116:I116"/>
    <mergeCell ref="H121:I121"/>
    <mergeCell ref="H122:I122"/>
    <mergeCell ref="C131:J131"/>
    <mergeCell ref="C132:J132"/>
    <mergeCell ref="C129:J129"/>
    <mergeCell ref="C130:J130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H119:I119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B86:E86"/>
    <mergeCell ref="B87:E87"/>
    <mergeCell ref="B91:E91"/>
    <mergeCell ref="B92:E92"/>
    <mergeCell ref="B93:E93"/>
    <mergeCell ref="B94:E94"/>
    <mergeCell ref="B95:E95"/>
    <mergeCell ref="B96:E96"/>
    <mergeCell ref="B97:E97"/>
    <mergeCell ref="B106:E106"/>
    <mergeCell ref="B107:E107"/>
    <mergeCell ref="B98:E98"/>
    <mergeCell ref="A90:E90"/>
    <mergeCell ref="B99:E99"/>
    <mergeCell ref="B100:E100"/>
    <mergeCell ref="B101:E101"/>
    <mergeCell ref="B102:E102"/>
    <mergeCell ref="B103:E103"/>
    <mergeCell ref="B104:E104"/>
    <mergeCell ref="B105:E105"/>
  </mergeCells>
  <printOptions horizontalCentered="1"/>
  <pageMargins left="0.25" right="0" top="0.61388888888888893" bottom="0.75" header="0" footer="0"/>
  <pageSetup scale="3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22" max="15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2:J15"/>
  <sheetViews>
    <sheetView topLeftCell="A10" workbookViewId="0">
      <selection activeCell="E9" sqref="E9"/>
    </sheetView>
  </sheetViews>
  <sheetFormatPr defaultColWidth="8.81640625" defaultRowHeight="16.5"/>
  <cols>
    <col min="1" max="1" width="26.453125" style="182" customWidth="1"/>
    <col min="2" max="16384" width="8.81640625" style="182"/>
  </cols>
  <sheetData>
    <row r="12" spans="1:10" s="183" customFormat="1" ht="34" customHeight="1">
      <c r="A12" s="704" t="s">
        <v>322</v>
      </c>
      <c r="B12" s="704"/>
      <c r="C12" s="704"/>
      <c r="D12" s="704"/>
      <c r="E12" s="704"/>
      <c r="F12" s="704"/>
      <c r="G12" s="704"/>
      <c r="H12" s="704"/>
      <c r="I12" s="704"/>
      <c r="J12" s="704"/>
    </row>
    <row r="13" spans="1:10" ht="24" customHeight="1">
      <c r="A13" s="185" t="s">
        <v>117</v>
      </c>
      <c r="B13" s="185" t="s">
        <v>323</v>
      </c>
      <c r="C13" s="185" t="s">
        <v>324</v>
      </c>
      <c r="D13" s="185" t="s">
        <v>37</v>
      </c>
      <c r="E13" s="184" t="s">
        <v>38</v>
      </c>
      <c r="F13" s="185" t="s">
        <v>39</v>
      </c>
      <c r="G13" s="185" t="s">
        <v>40</v>
      </c>
      <c r="H13" s="185" t="s">
        <v>41</v>
      </c>
      <c r="I13" s="185" t="s">
        <v>325</v>
      </c>
      <c r="J13" s="185" t="s">
        <v>326</v>
      </c>
    </row>
    <row r="14" spans="1:10" s="189" customFormat="1" ht="44.5" customHeight="1">
      <c r="A14" s="186" t="s">
        <v>327</v>
      </c>
      <c r="B14" s="187">
        <f>$D$14-0.5</f>
        <v>15</v>
      </c>
      <c r="C14" s="188">
        <f>$D$14-0.5</f>
        <v>15</v>
      </c>
      <c r="D14" s="188">
        <v>15.5</v>
      </c>
      <c r="E14" s="188">
        <v>15.5</v>
      </c>
      <c r="F14" s="188">
        <f>E14+0.5</f>
        <v>16</v>
      </c>
      <c r="G14" s="188">
        <f>F14</f>
        <v>16</v>
      </c>
      <c r="H14" s="188">
        <f>$G$14+0.5</f>
        <v>16.5</v>
      </c>
      <c r="I14" s="187">
        <f>$G$14+0.5</f>
        <v>16.5</v>
      </c>
      <c r="J14" s="187">
        <f>$G$14+0.5</f>
        <v>16.5</v>
      </c>
    </row>
    <row r="15" spans="1:10" s="189" customFormat="1" ht="44.5" customHeight="1">
      <c r="A15" s="186" t="s">
        <v>328</v>
      </c>
      <c r="B15" s="187">
        <f>$D$15-0.3</f>
        <v>4.7</v>
      </c>
      <c r="C15" s="188">
        <f>$D$15-0.3</f>
        <v>4.7</v>
      </c>
      <c r="D15" s="188">
        <v>5</v>
      </c>
      <c r="E15" s="188">
        <v>5</v>
      </c>
      <c r="F15" s="188">
        <f>E15+0.3</f>
        <v>5.3</v>
      </c>
      <c r="G15" s="188">
        <f>F15</f>
        <v>5.3</v>
      </c>
      <c r="H15" s="188">
        <f>$G$15+0.3</f>
        <v>5.6</v>
      </c>
      <c r="I15" s="187">
        <f t="shared" ref="I15:J15" si="0">$G$15+0.3</f>
        <v>5.6</v>
      </c>
      <c r="J15" s="187">
        <f t="shared" si="0"/>
        <v>5.6</v>
      </c>
    </row>
  </sheetData>
  <mergeCells count="1">
    <mergeCell ref="A12:J12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68"/>
    <col min="18" max="18" width="80.1796875" style="68" customWidth="1"/>
    <col min="19" max="16384" width="9.1796875" style="68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2b5f02d8b8a43ffa0858a10ac1deca57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1d701c6042d3886e8ead8bc1cb08d60f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  <SharedWithUsers xmlns="8acacb1a-d766-4a03-bc0c-a95b168db3c7">
      <UserInfo>
        <DisplayName>Loan Pham To</DisplayName>
        <AccountId>51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F153B9D8-E685-44A4-9C6F-1B85830BE33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D5D529-F52C-4D85-9431-3964A55FF3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ED916C1-5477-469F-8716-7037E5F6DBA9}">
  <ds:schemaRefs>
    <ds:schemaRef ds:uri="http://schemas.microsoft.com/office/2006/metadata/properties"/>
    <ds:schemaRef ds:uri="http://schemas.microsoft.com/office/infopath/2007/PartnerControls"/>
    <ds:schemaRef ds:uri="1972f4fa-a3a2-4010-a47e-cf3d6c5d1421"/>
    <ds:schemaRef ds:uri="8acacb1a-d766-4a03-bc0c-a95b168db3c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1. CUTTING</vt:lpstr>
      <vt:lpstr>2. TRIM</vt:lpstr>
      <vt:lpstr>M-BOM</vt:lpstr>
      <vt:lpstr>M-DESIGN</vt:lpstr>
      <vt:lpstr>M-SPEC</vt:lpstr>
      <vt:lpstr>M-GRADING ALPHA(S.M)</vt:lpstr>
      <vt:lpstr>1. CUTTING </vt:lpstr>
      <vt:lpstr>1099-624675</vt:lpstr>
      <vt:lpstr>3. ĐỊNH VỊ HÌNH IN.THÊU</vt:lpstr>
      <vt:lpstr>4. THÔNG SỐ SẢN XUẤT</vt:lpstr>
      <vt:lpstr>NHÃN_CHÍNH_GẮN_CHIP_NFC_70MM_x_38MM</vt:lpstr>
      <vt:lpstr>'1. CUTTING'!Print_Area</vt:lpstr>
      <vt:lpstr>'1. CUTTING '!Print_Area</vt:lpstr>
      <vt:lpstr>'2. TRIM'!Print_Area</vt:lpstr>
      <vt:lpstr>'1. CUTTING'!Print_Titles</vt:lpstr>
      <vt:lpstr>'1. CUTTING '!Print_Titles</vt:lpstr>
      <vt:lpstr>'2. TRIM'!Print_Titles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Sen Huynh Thi</cp:lastModifiedBy>
  <cp:revision/>
  <dcterms:created xsi:type="dcterms:W3CDTF">2016-05-06T01:47:29Z</dcterms:created>
  <dcterms:modified xsi:type="dcterms:W3CDTF">2024-06-14T06:41:38Z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