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301" documentId="13_ncr:1_{FA98FA3A-47FF-4352-851D-7EEACFA7FFDF}" xr6:coauthVersionLast="47" xr6:coauthVersionMax="47" xr10:uidLastSave="{72DAC81F-8A46-49D1-8830-0089345EAF81}"/>
  <bookViews>
    <workbookView xWindow="-110" yWindow="-110" windowWidth="19420" windowHeight="10300" tabRatio="753" xr2:uid="{00000000-000D-0000-FFFF-FFFF00000000}"/>
  </bookViews>
  <sheets>
    <sheet name="1. CUTTING DOCKET (BC01,BC06)" sheetId="27" r:id="rId1"/>
    <sheet name="1. CUTTING DOCKET" sheetId="1" state="hidden" r:id="rId2"/>
    <sheet name="GREY" sheetId="16" state="hidden" r:id="rId3"/>
    <sheet name="MKT CUTTING" sheetId="26" r:id="rId4"/>
    <sheet name="2. TRIM CARD" sheetId="5" r:id="rId5"/>
    <sheet name="UA FULL SIZE 120324" sheetId="25" r:id="rId6"/>
    <sheet name="DETAIL UPC CODE revised 9.5" sheetId="22" r:id="rId7"/>
    <sheet name="DB103_LA VÀ DB103_CLOSET  " sheetId="20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DOCKET'!$A$60:$R$98</definedName>
    <definedName name="_xlnm._FilterDatabase" localSheetId="0" hidden="1">'1. CUTTING DOCKET (BC01,BC06)'!$A$55:$S$81</definedName>
    <definedName name="_xlnm._FilterDatabase" localSheetId="6" hidden="1">'DETAIL UPC CODE revised 9.5'!$A$2:$P$367</definedName>
    <definedName name="_xlnm._FilterDatabase" localSheetId="2" hidden="1">GREY!$A$64:$Q$131</definedName>
    <definedName name="_xlnm._FilterDatabase" localSheetId="3" hidden="1">'MKT CUTTING'!$A$60:$R$98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 localSheetId="5">[18]UN!#REF!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localSheetId="5" hidden="1">#REF!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DOCKET'!$A$1:$Q$136</definedName>
    <definedName name="_xlnm.Print_Area" localSheetId="0">'1. CUTTING DOCKET (BC01,BC06)'!$A$1:$Q$119</definedName>
    <definedName name="_xlnm.Print_Area" localSheetId="4">'2. TRIM CARD'!$A$1:$E$38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2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3">'MKT CUTTING'!$A$1:$Q$136</definedName>
    <definedName name="_xlnm.Print_Area" localSheetId="5">'UA FULL SIZE 120324'!$A$1:$P$35</definedName>
    <definedName name="_xlnm.Print_Titles" localSheetId="1">'1. CUTTING DOCKET'!$1:$15</definedName>
    <definedName name="_xlnm.Print_Titles" localSheetId="0">'1. CUTTING DOCKET (BC01,BC06)'!$1:$15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2">GREY!$1:$15</definedName>
    <definedName name="_xlnm.Print_Titles" localSheetId="3">'MKT CUTTING'!$1:$15</definedName>
    <definedName name="_xlnm.Print_Titles" localSheetId="5">'UA FULL SIZE 120324'!$1:$5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1" i="27" l="1"/>
  <c r="S50" i="27"/>
  <c r="J25" i="27"/>
  <c r="J27" i="27" s="1"/>
  <c r="K25" i="27"/>
  <c r="I25" i="27"/>
  <c r="I27" i="27" s="1"/>
  <c r="H25" i="27"/>
  <c r="L25" i="27"/>
  <c r="L27" i="27" s="1"/>
  <c r="M25" i="27"/>
  <c r="G25" i="27"/>
  <c r="S44" i="27"/>
  <c r="S43" i="27"/>
  <c r="J19" i="27"/>
  <c r="J21" i="27" s="1"/>
  <c r="K19" i="27"/>
  <c r="K21" i="27" s="1"/>
  <c r="I19" i="27"/>
  <c r="I21" i="27" s="1"/>
  <c r="H19" i="27"/>
  <c r="L19" i="27"/>
  <c r="L21" i="27" s="1"/>
  <c r="M19" i="27"/>
  <c r="M21" i="27" s="1"/>
  <c r="G19" i="27"/>
  <c r="G21" i="27" s="1"/>
  <c r="B102" i="27"/>
  <c r="B90" i="27"/>
  <c r="L77" i="27"/>
  <c r="L76" i="27"/>
  <c r="L75" i="27"/>
  <c r="L74" i="27"/>
  <c r="L73" i="27"/>
  <c r="L81" i="27" s="1"/>
  <c r="L72" i="27"/>
  <c r="L80" i="27" s="1"/>
  <c r="L57" i="27"/>
  <c r="L56" i="27"/>
  <c r="E52" i="27"/>
  <c r="E51" i="27"/>
  <c r="E50" i="27"/>
  <c r="F57" i="27" s="1"/>
  <c r="B50" i="27"/>
  <c r="E45" i="27"/>
  <c r="E44" i="27"/>
  <c r="E43" i="27"/>
  <c r="C112" i="27" s="1"/>
  <c r="B43" i="27"/>
  <c r="Q32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G33" i="27"/>
  <c r="D31" i="27"/>
  <c r="D33" i="27" s="1"/>
  <c r="C31" i="27"/>
  <c r="Q30" i="27"/>
  <c r="Q26" i="27"/>
  <c r="M27" i="27"/>
  <c r="K27" i="27"/>
  <c r="H27" i="27"/>
  <c r="D25" i="27"/>
  <c r="D27" i="27" s="1"/>
  <c r="B88" i="27" s="1"/>
  <c r="C25" i="27"/>
  <c r="Q24" i="27"/>
  <c r="Q20" i="27"/>
  <c r="H21" i="27"/>
  <c r="D19" i="27"/>
  <c r="D21" i="27" s="1"/>
  <c r="C19" i="27"/>
  <c r="Q18" i="27"/>
  <c r="M31" i="1"/>
  <c r="L31" i="1"/>
  <c r="K31" i="1"/>
  <c r="J31" i="1"/>
  <c r="J33" i="1" s="1"/>
  <c r="I31" i="1"/>
  <c r="H31" i="1"/>
  <c r="H33" i="1" s="1"/>
  <c r="G31" i="1"/>
  <c r="M25" i="1"/>
  <c r="M27" i="1" s="1"/>
  <c r="L25" i="1"/>
  <c r="K25" i="1"/>
  <c r="J25" i="1"/>
  <c r="I25" i="1"/>
  <c r="H25" i="1"/>
  <c r="G25" i="1"/>
  <c r="M19" i="1"/>
  <c r="L19" i="1"/>
  <c r="K19" i="1"/>
  <c r="J19" i="1"/>
  <c r="I19" i="1"/>
  <c r="H19" i="1"/>
  <c r="G19" i="1"/>
  <c r="M33" i="1"/>
  <c r="L33" i="1"/>
  <c r="K33" i="1"/>
  <c r="I33" i="1"/>
  <c r="G33" i="1"/>
  <c r="D33" i="1"/>
  <c r="Q32" i="1"/>
  <c r="L27" i="1"/>
  <c r="K27" i="1"/>
  <c r="J27" i="1"/>
  <c r="I27" i="1"/>
  <c r="H27" i="1"/>
  <c r="G27" i="1"/>
  <c r="D27" i="1"/>
  <c r="Q26" i="1"/>
  <c r="D21" i="1"/>
  <c r="Q20" i="1"/>
  <c r="C119" i="26"/>
  <c r="B119" i="26"/>
  <c r="B107" i="26"/>
  <c r="L98" i="26"/>
  <c r="H97" i="26"/>
  <c r="L94" i="26"/>
  <c r="L79" i="26" s="1"/>
  <c r="L92" i="26"/>
  <c r="L91" i="26"/>
  <c r="L90" i="26"/>
  <c r="I90" i="26"/>
  <c r="H90" i="26"/>
  <c r="L89" i="26"/>
  <c r="I89" i="26"/>
  <c r="L88" i="26"/>
  <c r="L87" i="26"/>
  <c r="I87" i="26"/>
  <c r="L86" i="26"/>
  <c r="L95" i="26" s="1"/>
  <c r="L80" i="26" s="1"/>
  <c r="L85" i="26"/>
  <c r="L97" i="26" s="1"/>
  <c r="L84" i="26"/>
  <c r="L96" i="26" s="1"/>
  <c r="I81" i="26"/>
  <c r="H81" i="26"/>
  <c r="I80" i="26"/>
  <c r="I78" i="26"/>
  <c r="I75" i="26"/>
  <c r="H71" i="26"/>
  <c r="I66" i="26"/>
  <c r="I64" i="26"/>
  <c r="L63" i="26"/>
  <c r="L62" i="26"/>
  <c r="H62" i="26"/>
  <c r="L61" i="26"/>
  <c r="F61" i="26"/>
  <c r="E57" i="26"/>
  <c r="E56" i="26"/>
  <c r="E55" i="26"/>
  <c r="F63" i="26" s="1"/>
  <c r="B55" i="26"/>
  <c r="A54" i="26"/>
  <c r="E52" i="26"/>
  <c r="E51" i="26"/>
  <c r="E50" i="26"/>
  <c r="F62" i="26" s="1"/>
  <c r="B50" i="26"/>
  <c r="A49" i="26"/>
  <c r="E45" i="26"/>
  <c r="E44" i="26"/>
  <c r="E43" i="26"/>
  <c r="C129" i="26" s="1"/>
  <c r="B43" i="26"/>
  <c r="L33" i="26"/>
  <c r="K33" i="26"/>
  <c r="K35" i="26" s="1"/>
  <c r="G136" i="26" s="1"/>
  <c r="I33" i="26"/>
  <c r="I35" i="26" s="1"/>
  <c r="E136" i="26" s="1"/>
  <c r="Q32" i="26"/>
  <c r="M31" i="26"/>
  <c r="Q31" i="26" s="1"/>
  <c r="Q33" i="26" s="1"/>
  <c r="L31" i="26"/>
  <c r="K31" i="26"/>
  <c r="J31" i="26"/>
  <c r="J33" i="26" s="1"/>
  <c r="I31" i="26"/>
  <c r="H31" i="26"/>
  <c r="H33" i="26" s="1"/>
  <c r="G31" i="26"/>
  <c r="G33" i="26" s="1"/>
  <c r="D31" i="26"/>
  <c r="D33" i="26" s="1"/>
  <c r="C31" i="26"/>
  <c r="Q30" i="26"/>
  <c r="I27" i="26"/>
  <c r="H27" i="26"/>
  <c r="D27" i="26"/>
  <c r="B105" i="26" s="1"/>
  <c r="Q26" i="26"/>
  <c r="M25" i="26"/>
  <c r="M27" i="26" s="1"/>
  <c r="L25" i="26"/>
  <c r="L27" i="26" s="1"/>
  <c r="K25" i="26"/>
  <c r="K27" i="26" s="1"/>
  <c r="J25" i="26"/>
  <c r="J27" i="26" s="1"/>
  <c r="I25" i="26"/>
  <c r="H25" i="26"/>
  <c r="G25" i="26"/>
  <c r="Q25" i="26" s="1"/>
  <c r="Q27" i="26" s="1"/>
  <c r="D25" i="26"/>
  <c r="C25" i="26"/>
  <c r="Q24" i="26"/>
  <c r="M21" i="26"/>
  <c r="K21" i="26"/>
  <c r="I21" i="26"/>
  <c r="D21" i="26"/>
  <c r="H67" i="26" s="1"/>
  <c r="Q20" i="26"/>
  <c r="M19" i="26"/>
  <c r="L19" i="26"/>
  <c r="L21" i="26" s="1"/>
  <c r="K19" i="26"/>
  <c r="J19" i="26"/>
  <c r="J21" i="26" s="1"/>
  <c r="I19" i="26"/>
  <c r="H19" i="26"/>
  <c r="H21" i="26" s="1"/>
  <c r="G19" i="26"/>
  <c r="G21" i="26" s="1"/>
  <c r="D19" i="26"/>
  <c r="C19" i="26"/>
  <c r="Q18" i="26"/>
  <c r="Q25" i="27" l="1"/>
  <c r="Q27" i="27" s="1"/>
  <c r="I35" i="27"/>
  <c r="E119" i="27" s="1"/>
  <c r="M35" i="27"/>
  <c r="I119" i="27" s="1"/>
  <c r="K35" i="27"/>
  <c r="G119" i="27" s="1"/>
  <c r="H60" i="27"/>
  <c r="H70" i="27"/>
  <c r="H56" i="27"/>
  <c r="A42" i="27"/>
  <c r="B87" i="27"/>
  <c r="H62" i="27"/>
  <c r="B99" i="27"/>
  <c r="H80" i="27"/>
  <c r="B110" i="27"/>
  <c r="H78" i="27"/>
  <c r="H64" i="27"/>
  <c r="H76" i="27"/>
  <c r="H74" i="27"/>
  <c r="H68" i="27"/>
  <c r="H58" i="27"/>
  <c r="H72" i="27"/>
  <c r="H35" i="27"/>
  <c r="D119" i="27" s="1"/>
  <c r="J35" i="27"/>
  <c r="F119" i="27" s="1"/>
  <c r="B101" i="27"/>
  <c r="B112" i="27"/>
  <c r="B89" i="27"/>
  <c r="L35" i="27"/>
  <c r="H119" i="27" s="1"/>
  <c r="I60" i="27"/>
  <c r="H65" i="27"/>
  <c r="H77" i="27"/>
  <c r="C101" i="27"/>
  <c r="Q19" i="27"/>
  <c r="Q21" i="27" s="1"/>
  <c r="G27" i="27"/>
  <c r="G35" i="27" s="1"/>
  <c r="C119" i="27" s="1"/>
  <c r="I72" i="27"/>
  <c r="H79" i="27"/>
  <c r="C89" i="27"/>
  <c r="I74" i="27"/>
  <c r="C102" i="27"/>
  <c r="Q31" i="27"/>
  <c r="Q33" i="27" s="1"/>
  <c r="A49" i="27"/>
  <c r="I70" i="27"/>
  <c r="I76" i="27"/>
  <c r="L79" i="27"/>
  <c r="L69" i="27" s="1"/>
  <c r="C90" i="27"/>
  <c r="I68" i="27"/>
  <c r="H61" i="27"/>
  <c r="I64" i="27"/>
  <c r="I78" i="27"/>
  <c r="C110" i="27"/>
  <c r="H63" i="27"/>
  <c r="F56" i="27"/>
  <c r="H57" i="27"/>
  <c r="I80" i="27"/>
  <c r="C99" i="27"/>
  <c r="B111" i="27"/>
  <c r="H81" i="27"/>
  <c r="H59" i="27"/>
  <c r="I62" i="27"/>
  <c r="H73" i="27"/>
  <c r="L78" i="27"/>
  <c r="L68" i="27" s="1"/>
  <c r="C87" i="27"/>
  <c r="B100" i="27"/>
  <c r="I58" i="27"/>
  <c r="I56" i="27"/>
  <c r="H69" i="27"/>
  <c r="H71" i="27"/>
  <c r="H75" i="27"/>
  <c r="J35" i="26"/>
  <c r="F136" i="26" s="1"/>
  <c r="B118" i="26"/>
  <c r="H98" i="26"/>
  <c r="B129" i="26"/>
  <c r="H95" i="26"/>
  <c r="H72" i="26"/>
  <c r="H92" i="26"/>
  <c r="H63" i="26"/>
  <c r="H89" i="26"/>
  <c r="H80" i="26"/>
  <c r="H75" i="26"/>
  <c r="H86" i="26"/>
  <c r="H83" i="26"/>
  <c r="H66" i="26"/>
  <c r="B106" i="26"/>
  <c r="H69" i="26"/>
  <c r="K85" i="26"/>
  <c r="M85" i="26" s="1"/>
  <c r="O85" i="26" s="1"/>
  <c r="K65" i="26"/>
  <c r="M65" i="26" s="1"/>
  <c r="O65" i="26" s="1"/>
  <c r="K68" i="26"/>
  <c r="M68" i="26" s="1"/>
  <c r="O68" i="26" s="1"/>
  <c r="K62" i="26"/>
  <c r="M62" i="26" s="1"/>
  <c r="O62" i="26" s="1"/>
  <c r="G50" i="26"/>
  <c r="I50" i="26" s="1"/>
  <c r="G51" i="26"/>
  <c r="I51" i="26" s="1"/>
  <c r="K97" i="26"/>
  <c r="M97" i="26" s="1"/>
  <c r="O97" i="26" s="1"/>
  <c r="K71" i="26"/>
  <c r="M71" i="26" s="1"/>
  <c r="O71" i="26" s="1"/>
  <c r="K91" i="26"/>
  <c r="M91" i="26" s="1"/>
  <c r="O91" i="26" s="1"/>
  <c r="K74" i="26"/>
  <c r="M74" i="26" s="1"/>
  <c r="O74" i="26" s="1"/>
  <c r="K94" i="26"/>
  <c r="M94" i="26" s="1"/>
  <c r="O94" i="26" s="1"/>
  <c r="K88" i="26"/>
  <c r="M88" i="26" s="1"/>
  <c r="O88" i="26" s="1"/>
  <c r="K82" i="26"/>
  <c r="M82" i="26" s="1"/>
  <c r="O82" i="26" s="1"/>
  <c r="K79" i="26"/>
  <c r="M79" i="26" s="1"/>
  <c r="O79" i="26" s="1"/>
  <c r="H35" i="26"/>
  <c r="D136" i="26" s="1"/>
  <c r="K92" i="26"/>
  <c r="M92" i="26" s="1"/>
  <c r="O92" i="26" s="1"/>
  <c r="K86" i="26"/>
  <c r="M86" i="26" s="1"/>
  <c r="O86" i="26" s="1"/>
  <c r="K83" i="26"/>
  <c r="M83" i="26" s="1"/>
  <c r="O83" i="26" s="1"/>
  <c r="K63" i="26"/>
  <c r="M63" i="26" s="1"/>
  <c r="O63" i="26" s="1"/>
  <c r="K89" i="26"/>
  <c r="M89" i="26" s="1"/>
  <c r="O89" i="26" s="1"/>
  <c r="K80" i="26"/>
  <c r="M80" i="26" s="1"/>
  <c r="O80" i="26" s="1"/>
  <c r="K75" i="26"/>
  <c r="M75" i="26" s="1"/>
  <c r="O75" i="26" s="1"/>
  <c r="K69" i="26"/>
  <c r="M69" i="26" s="1"/>
  <c r="O69" i="26" s="1"/>
  <c r="K66" i="26"/>
  <c r="M66" i="26" s="1"/>
  <c r="O66" i="26" s="1"/>
  <c r="G55" i="26"/>
  <c r="I55" i="26" s="1"/>
  <c r="K98" i="26"/>
  <c r="M98" i="26" s="1"/>
  <c r="O98" i="26" s="1"/>
  <c r="K95" i="26"/>
  <c r="M95" i="26" s="1"/>
  <c r="O95" i="26" s="1"/>
  <c r="K72" i="26"/>
  <c r="M72" i="26" s="1"/>
  <c r="O72" i="26" s="1"/>
  <c r="G56" i="26"/>
  <c r="I56" i="26" s="1"/>
  <c r="L35" i="26"/>
  <c r="H136" i="26" s="1"/>
  <c r="I67" i="26"/>
  <c r="H74" i="26"/>
  <c r="H84" i="26"/>
  <c r="H91" i="26"/>
  <c r="I98" i="26"/>
  <c r="C118" i="26"/>
  <c r="Q19" i="26"/>
  <c r="Q21" i="26" s="1"/>
  <c r="G27" i="26"/>
  <c r="G35" i="26" s="1"/>
  <c r="C136" i="26" s="1"/>
  <c r="J136" i="26" s="1"/>
  <c r="H64" i="26"/>
  <c r="I69" i="26"/>
  <c r="H78" i="26"/>
  <c r="I84" i="26"/>
  <c r="H87" i="26"/>
  <c r="H94" i="26"/>
  <c r="C106" i="26"/>
  <c r="H73" i="26"/>
  <c r="H93" i="26"/>
  <c r="C107" i="26"/>
  <c r="B127" i="26"/>
  <c r="M33" i="26"/>
  <c r="M35" i="26" s="1"/>
  <c r="I136" i="26" s="1"/>
  <c r="I63" i="26"/>
  <c r="H68" i="26"/>
  <c r="I73" i="26"/>
  <c r="I83" i="26"/>
  <c r="I86" i="26"/>
  <c r="I93" i="26"/>
  <c r="H96" i="26"/>
  <c r="B116" i="26"/>
  <c r="C127" i="26"/>
  <c r="H70" i="26"/>
  <c r="I96" i="26"/>
  <c r="B128" i="26"/>
  <c r="A42" i="26"/>
  <c r="H61" i="26"/>
  <c r="H65" i="26"/>
  <c r="I70" i="26"/>
  <c r="H85" i="26"/>
  <c r="I92" i="26"/>
  <c r="L93" i="26"/>
  <c r="L78" i="26" s="1"/>
  <c r="C104" i="26"/>
  <c r="B117" i="26"/>
  <c r="B104" i="26"/>
  <c r="C116" i="26"/>
  <c r="I61" i="26"/>
  <c r="I72" i="26"/>
  <c r="H79" i="26"/>
  <c r="H82" i="26"/>
  <c r="H88" i="26"/>
  <c r="I95" i="26"/>
  <c r="G50" i="27" l="1"/>
  <c r="I50" i="27" s="1"/>
  <c r="J50" i="27" s="1"/>
  <c r="G53" i="27"/>
  <c r="G52" i="27"/>
  <c r="I52" i="27" s="1"/>
  <c r="K57" i="27"/>
  <c r="M57" i="27" s="1"/>
  <c r="O57" i="27" s="1"/>
  <c r="K77" i="27"/>
  <c r="M77" i="27" s="1"/>
  <c r="O77" i="27" s="1"/>
  <c r="K59" i="27"/>
  <c r="M59" i="27" s="1"/>
  <c r="O59" i="27" s="1"/>
  <c r="G51" i="27"/>
  <c r="I51" i="27" s="1"/>
  <c r="K73" i="27"/>
  <c r="M73" i="27" s="1"/>
  <c r="O73" i="27" s="1"/>
  <c r="K81" i="27"/>
  <c r="M81" i="27" s="1"/>
  <c r="O81" i="27" s="1"/>
  <c r="K69" i="27"/>
  <c r="M69" i="27" s="1"/>
  <c r="O69" i="27" s="1"/>
  <c r="K79" i="27"/>
  <c r="M79" i="27" s="1"/>
  <c r="O79" i="27" s="1"/>
  <c r="K71" i="27"/>
  <c r="M71" i="27" s="1"/>
  <c r="O71" i="27" s="1"/>
  <c r="K61" i="27"/>
  <c r="M61" i="27" s="1"/>
  <c r="O61" i="27" s="1"/>
  <c r="K65" i="27"/>
  <c r="M65" i="27" s="1"/>
  <c r="O65" i="27" s="1"/>
  <c r="K63" i="27"/>
  <c r="M63" i="27" s="1"/>
  <c r="O63" i="27" s="1"/>
  <c r="K75" i="27"/>
  <c r="M75" i="27" s="1"/>
  <c r="O75" i="27" s="1"/>
  <c r="J119" i="27"/>
  <c r="K62" i="27"/>
  <c r="M62" i="27" s="1"/>
  <c r="O62" i="27" s="1"/>
  <c r="G46" i="27"/>
  <c r="I46" i="27" s="1"/>
  <c r="K80" i="27"/>
  <c r="M80" i="27" s="1"/>
  <c r="O80" i="27" s="1"/>
  <c r="G44" i="27"/>
  <c r="I44" i="27" s="1"/>
  <c r="K78" i="27"/>
  <c r="M78" i="27" s="1"/>
  <c r="O78" i="27" s="1"/>
  <c r="K64" i="27"/>
  <c r="M64" i="27" s="1"/>
  <c r="O64" i="27" s="1"/>
  <c r="Q35" i="27"/>
  <c r="K56" i="27"/>
  <c r="M56" i="27" s="1"/>
  <c r="O56" i="27" s="1"/>
  <c r="K76" i="27"/>
  <c r="M76" i="27" s="1"/>
  <c r="O76" i="27" s="1"/>
  <c r="K70" i="27"/>
  <c r="M70" i="27" s="1"/>
  <c r="O70" i="27" s="1"/>
  <c r="I53" i="27"/>
  <c r="K72" i="27"/>
  <c r="M72" i="27" s="1"/>
  <c r="O72" i="27" s="1"/>
  <c r="K74" i="27"/>
  <c r="M74" i="27" s="1"/>
  <c r="O74" i="27" s="1"/>
  <c r="K68" i="27"/>
  <c r="M68" i="27" s="1"/>
  <c r="O68" i="27" s="1"/>
  <c r="K58" i="27"/>
  <c r="M58" i="27" s="1"/>
  <c r="O58" i="27" s="1"/>
  <c r="G45" i="27"/>
  <c r="I45" i="27" s="1"/>
  <c r="J45" i="27" s="1"/>
  <c r="K60" i="27"/>
  <c r="M60" i="27" s="1"/>
  <c r="O60" i="27" s="1"/>
  <c r="G43" i="27"/>
  <c r="I43" i="27" s="1"/>
  <c r="J43" i="27" s="1"/>
  <c r="M50" i="27"/>
  <c r="J55" i="26"/>
  <c r="M55" i="26" s="1"/>
  <c r="M51" i="26"/>
  <c r="J51" i="26"/>
  <c r="K70" i="26"/>
  <c r="M70" i="26" s="1"/>
  <c r="O70" i="26" s="1"/>
  <c r="G46" i="26"/>
  <c r="I46" i="26" s="1"/>
  <c r="K96" i="26"/>
  <c r="M96" i="26" s="1"/>
  <c r="O96" i="26" s="1"/>
  <c r="G44" i="26"/>
  <c r="I44" i="26" s="1"/>
  <c r="K93" i="26"/>
  <c r="M93" i="26" s="1"/>
  <c r="O93" i="26" s="1"/>
  <c r="K73" i="26"/>
  <c r="M73" i="26" s="1"/>
  <c r="O73" i="26" s="1"/>
  <c r="G57" i="26"/>
  <c r="I57" i="26" s="1"/>
  <c r="G45" i="26"/>
  <c r="I45" i="26" s="1"/>
  <c r="K84" i="26"/>
  <c r="M84" i="26" s="1"/>
  <c r="O84" i="26" s="1"/>
  <c r="K90" i="26"/>
  <c r="M90" i="26" s="1"/>
  <c r="O90" i="26" s="1"/>
  <c r="K81" i="26"/>
  <c r="M81" i="26" s="1"/>
  <c r="O81" i="26" s="1"/>
  <c r="G53" i="26"/>
  <c r="I53" i="26" s="1"/>
  <c r="K87" i="26"/>
  <c r="M87" i="26" s="1"/>
  <c r="O87" i="26" s="1"/>
  <c r="K78" i="26"/>
  <c r="M78" i="26" s="1"/>
  <c r="O78" i="26" s="1"/>
  <c r="K67" i="26"/>
  <c r="M67" i="26" s="1"/>
  <c r="O67" i="26" s="1"/>
  <c r="G58" i="26"/>
  <c r="I58" i="26" s="1"/>
  <c r="G43" i="26"/>
  <c r="I43" i="26" s="1"/>
  <c r="G52" i="26"/>
  <c r="I52" i="26" s="1"/>
  <c r="Q35" i="26"/>
  <c r="K64" i="26"/>
  <c r="M64" i="26" s="1"/>
  <c r="O64" i="26" s="1"/>
  <c r="K61" i="26"/>
  <c r="M61" i="26" s="1"/>
  <c r="O61" i="26" s="1"/>
  <c r="J56" i="26"/>
  <c r="M56" i="26"/>
  <c r="J50" i="26"/>
  <c r="M50" i="26" s="1"/>
  <c r="J51" i="27" l="1"/>
  <c r="M51" i="27" s="1"/>
  <c r="J46" i="27"/>
  <c r="M46" i="27" s="1"/>
  <c r="J52" i="27"/>
  <c r="M52" i="27" s="1"/>
  <c r="M43" i="27"/>
  <c r="J53" i="27"/>
  <c r="M53" i="27" s="1"/>
  <c r="J44" i="27"/>
  <c r="M44" i="27" s="1"/>
  <c r="M45" i="27"/>
  <c r="J53" i="26"/>
  <c r="M53" i="26" s="1"/>
  <c r="J58" i="26"/>
  <c r="M58" i="26" s="1"/>
  <c r="J45" i="26"/>
  <c r="M45" i="26"/>
  <c r="J46" i="26"/>
  <c r="M46" i="26" s="1"/>
  <c r="J57" i="26"/>
  <c r="M57" i="26"/>
  <c r="J52" i="26"/>
  <c r="M52" i="26" s="1"/>
  <c r="J44" i="26"/>
  <c r="M44" i="26" s="1"/>
  <c r="J43" i="26"/>
  <c r="M43" i="26" s="1"/>
  <c r="B15" i="5" l="1"/>
  <c r="A16" i="5"/>
  <c r="A15" i="5"/>
  <c r="E15" i="5"/>
  <c r="A14" i="5"/>
  <c r="A13" i="5"/>
  <c r="E13" i="5"/>
  <c r="E56" i="1"/>
  <c r="E57" i="1"/>
  <c r="E55" i="1"/>
  <c r="F63" i="1" s="1"/>
  <c r="E51" i="1"/>
  <c r="E52" i="1"/>
  <c r="E50" i="1"/>
  <c r="F62" i="1" s="1"/>
  <c r="E44" i="1"/>
  <c r="E45" i="1"/>
  <c r="E43" i="1"/>
  <c r="F61" i="1" s="1"/>
  <c r="L92" i="1"/>
  <c r="L91" i="1"/>
  <c r="L90" i="1"/>
  <c r="L89" i="1"/>
  <c r="L88" i="1"/>
  <c r="L87" i="1"/>
  <c r="L35" i="25"/>
  <c r="M35" i="25" s="1"/>
  <c r="N35" i="25" s="1"/>
  <c r="O35" i="25" s="1"/>
  <c r="J35" i="25"/>
  <c r="I35" i="25"/>
  <c r="L33" i="25"/>
  <c r="M33" i="25" s="1"/>
  <c r="N33" i="25" s="1"/>
  <c r="O33" i="25" s="1"/>
  <c r="J33" i="25"/>
  <c r="I33" i="25" s="1"/>
  <c r="L32" i="25"/>
  <c r="M32" i="25" s="1"/>
  <c r="N32" i="25" s="1"/>
  <c r="O32" i="25" s="1"/>
  <c r="J32" i="25"/>
  <c r="I32" i="25"/>
  <c r="L31" i="25"/>
  <c r="M31" i="25" s="1"/>
  <c r="N31" i="25" s="1"/>
  <c r="O31" i="25" s="1"/>
  <c r="J31" i="25"/>
  <c r="I31" i="25"/>
  <c r="L30" i="25"/>
  <c r="M30" i="25" s="1"/>
  <c r="N30" i="25" s="1"/>
  <c r="O30" i="25" s="1"/>
  <c r="J30" i="25"/>
  <c r="I30" i="25"/>
  <c r="L29" i="25"/>
  <c r="M29" i="25" s="1"/>
  <c r="N29" i="25" s="1"/>
  <c r="O29" i="25" s="1"/>
  <c r="J29" i="25"/>
  <c r="I29" i="25"/>
  <c r="L28" i="25"/>
  <c r="M28" i="25" s="1"/>
  <c r="N28" i="25" s="1"/>
  <c r="O28" i="25" s="1"/>
  <c r="J28" i="25"/>
  <c r="I28" i="25"/>
  <c r="L27" i="25"/>
  <c r="M27" i="25" s="1"/>
  <c r="N27" i="25" s="1"/>
  <c r="O27" i="25" s="1"/>
  <c r="J27" i="25"/>
  <c r="I27" i="25"/>
  <c r="L26" i="25"/>
  <c r="M26" i="25" s="1"/>
  <c r="N26" i="25" s="1"/>
  <c r="O26" i="25" s="1"/>
  <c r="J26" i="25"/>
  <c r="I26" i="25"/>
  <c r="M13" i="25"/>
  <c r="N13" i="25" s="1"/>
  <c r="K13" i="25"/>
  <c r="J13" i="25" s="1"/>
  <c r="I13" i="25" s="1"/>
  <c r="M12" i="25"/>
  <c r="N12" i="25" s="1"/>
  <c r="K12" i="25"/>
  <c r="J12" i="25" s="1"/>
  <c r="I12" i="25" s="1"/>
  <c r="L63" i="1"/>
  <c r="L62" i="1"/>
  <c r="L61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N306" i="22" s="1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N223" i="22" s="1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T187" i="22"/>
  <c r="L187" i="22"/>
  <c r="N187" i="22" s="1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T179" i="22"/>
  <c r="N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K149" i="22"/>
  <c r="T148" i="22"/>
  <c r="L148" i="22"/>
  <c r="K148" i="22"/>
  <c r="N148" i="22" s="1"/>
  <c r="T147" i="22"/>
  <c r="L147" i="22"/>
  <c r="K147" i="22"/>
  <c r="N147" i="22" s="1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N136" i="22" s="1"/>
  <c r="T135" i="22"/>
  <c r="L135" i="22"/>
  <c r="K135" i="22"/>
  <c r="T134" i="22"/>
  <c r="L134" i="22"/>
  <c r="K134" i="22"/>
  <c r="N134" i="22" s="1"/>
  <c r="T133" i="22"/>
  <c r="L133" i="22"/>
  <c r="K133" i="22"/>
  <c r="T132" i="22"/>
  <c r="L132" i="22"/>
  <c r="K132" i="22"/>
  <c r="T131" i="22"/>
  <c r="L131" i="22"/>
  <c r="K131" i="22"/>
  <c r="N131" i="22" s="1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N126" i="22" s="1"/>
  <c r="T125" i="22"/>
  <c r="L125" i="22"/>
  <c r="K125" i="22"/>
  <c r="N125" i="22" s="1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N120" i="22" s="1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K115" i="22"/>
  <c r="N115" i="22" s="1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N102" i="22" s="1"/>
  <c r="T101" i="22"/>
  <c r="L101" i="22"/>
  <c r="K101" i="22"/>
  <c r="T100" i="22"/>
  <c r="L100" i="22"/>
  <c r="K100" i="22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N71" i="22" s="1"/>
  <c r="K71" i="22"/>
  <c r="T70" i="22"/>
  <c r="L70" i="22"/>
  <c r="K70" i="22"/>
  <c r="N70" i="22" s="1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N61" i="22" s="1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N40" i="22" s="1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N34" i="22" s="1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N30" i="22" s="1"/>
  <c r="K30" i="22"/>
  <c r="T29" i="22"/>
  <c r="O29" i="22"/>
  <c r="N29" i="22"/>
  <c r="L29" i="22"/>
  <c r="K29" i="22"/>
  <c r="T28" i="22"/>
  <c r="O28" i="22"/>
  <c r="L28" i="22"/>
  <c r="K28" i="22"/>
  <c r="N28" i="22" s="1"/>
  <c r="T27" i="22"/>
  <c r="O27" i="22"/>
  <c r="L27" i="22"/>
  <c r="K27" i="22"/>
  <c r="N27" i="22" s="1"/>
  <c r="T26" i="22"/>
  <c r="O26" i="22"/>
  <c r="L26" i="22"/>
  <c r="K26" i="22"/>
  <c r="N26" i="22" s="1"/>
  <c r="T25" i="22"/>
  <c r="O25" i="22"/>
  <c r="L25" i="22"/>
  <c r="K25" i="22"/>
  <c r="N25" i="22" s="1"/>
  <c r="T24" i="22"/>
  <c r="O24" i="22"/>
  <c r="L24" i="22"/>
  <c r="K24" i="22"/>
  <c r="N24" i="22" s="1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N20" i="22" s="1"/>
  <c r="T19" i="22"/>
  <c r="O19" i="22"/>
  <c r="L19" i="22"/>
  <c r="K19" i="22"/>
  <c r="N19" i="22" s="1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N91" i="22" l="1"/>
  <c r="N117" i="22"/>
  <c r="N252" i="22"/>
  <c r="N18" i="22"/>
  <c r="N42" i="22"/>
  <c r="N48" i="22"/>
  <c r="N50" i="22"/>
  <c r="N60" i="22"/>
  <c r="N68" i="22"/>
  <c r="N123" i="22"/>
  <c r="N163" i="22"/>
  <c r="N184" i="22"/>
  <c r="N234" i="22"/>
  <c r="N266" i="22"/>
  <c r="N357" i="22"/>
  <c r="N79" i="22"/>
  <c r="N84" i="22"/>
  <c r="N100" i="22"/>
  <c r="N121" i="22"/>
  <c r="N166" i="22"/>
  <c r="N195" i="22"/>
  <c r="N203" i="22"/>
  <c r="N211" i="22"/>
  <c r="N219" i="22"/>
  <c r="N232" i="22"/>
  <c r="N264" i="22"/>
  <c r="N141" i="22"/>
  <c r="N74" i="22"/>
  <c r="N95" i="22"/>
  <c r="N111" i="22"/>
  <c r="N116" i="22"/>
  <c r="N132" i="22"/>
  <c r="N164" i="22"/>
  <c r="N278" i="22"/>
  <c r="N286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21" i="1" l="1"/>
  <c r="G21" i="1"/>
  <c r="H21" i="1"/>
  <c r="I21" i="1"/>
  <c r="L21" i="1"/>
  <c r="M21" i="1"/>
  <c r="B37" i="5"/>
  <c r="A37" i="5"/>
  <c r="B35" i="5"/>
  <c r="A35" i="5"/>
  <c r="B33" i="5"/>
  <c r="A33" i="5"/>
  <c r="B31" i="5"/>
  <c r="B29" i="5"/>
  <c r="A29" i="5"/>
  <c r="I92" i="1"/>
  <c r="I90" i="1"/>
  <c r="I89" i="1"/>
  <c r="I87" i="1"/>
  <c r="A27" i="5"/>
  <c r="A23" i="5"/>
  <c r="B25" i="5"/>
  <c r="A25" i="5"/>
  <c r="B23" i="5"/>
  <c r="I72" i="1"/>
  <c r="I70" i="1"/>
  <c r="L86" i="1"/>
  <c r="L85" i="1"/>
  <c r="L84" i="1"/>
  <c r="L93" i="1" s="1"/>
  <c r="L78" i="1" s="1"/>
  <c r="J35" i="1" l="1"/>
  <c r="F136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0" i="5"/>
  <c r="M40" i="5" s="1"/>
  <c r="J43" i="18"/>
  <c r="M45" i="5"/>
  <c r="M48" i="18"/>
  <c r="M44" i="5"/>
  <c r="M46" i="18"/>
  <c r="M41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3" i="5" l="1"/>
  <c r="A51" i="5"/>
  <c r="A54" i="1"/>
  <c r="A49" i="5"/>
  <c r="A46" i="5"/>
  <c r="G54" i="5"/>
  <c r="E54" i="5"/>
  <c r="E52" i="5"/>
  <c r="E50" i="5"/>
  <c r="G50" i="5"/>
  <c r="E48" i="5"/>
  <c r="K21" i="1" l="1"/>
  <c r="C31" i="1"/>
  <c r="C25" i="1"/>
  <c r="C19" i="1"/>
  <c r="G35" i="1" l="1"/>
  <c r="I35" i="1"/>
  <c r="E136" i="1" s="1"/>
  <c r="K35" i="1"/>
  <c r="G136" i="1" s="1"/>
  <c r="H35" i="1"/>
  <c r="D136" i="1" s="1"/>
  <c r="L35" i="1"/>
  <c r="H136" i="1" s="1"/>
  <c r="M35" i="1"/>
  <c r="I136" i="1" s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18" i="5"/>
  <c r="J51" i="16"/>
  <c r="B50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D9" i="5" l="1"/>
  <c r="D13" i="5"/>
  <c r="H91" i="1"/>
  <c r="H71" i="1"/>
  <c r="H88" i="1"/>
  <c r="A49" i="1"/>
  <c r="C5" i="5"/>
  <c r="B128" i="1"/>
  <c r="B105" i="1"/>
  <c r="B117" i="1"/>
  <c r="H82" i="1"/>
  <c r="H68" i="1"/>
  <c r="H74" i="1"/>
  <c r="H97" i="1"/>
  <c r="H65" i="1"/>
  <c r="H85" i="1"/>
  <c r="H62" i="1"/>
  <c r="H79" i="1"/>
  <c r="H94" i="1"/>
  <c r="Q25" i="1"/>
  <c r="Q2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8" i="5"/>
  <c r="C18" i="5"/>
  <c r="B18" i="5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1" i="1" l="1"/>
  <c r="I51" i="1" s="1"/>
  <c r="J51" i="1" s="1"/>
  <c r="K88" i="1"/>
  <c r="K91" i="1"/>
  <c r="M91" i="1" s="1"/>
  <c r="O91" i="1" s="1"/>
  <c r="K79" i="1"/>
  <c r="K82" i="1"/>
  <c r="G50" i="1"/>
  <c r="I50" i="1" s="1"/>
  <c r="J50" i="1" s="1"/>
  <c r="K94" i="1"/>
  <c r="K65" i="1"/>
  <c r="K97" i="1"/>
  <c r="K71" i="1"/>
  <c r="M71" i="1" s="1"/>
  <c r="O71" i="1" s="1"/>
  <c r="K68" i="1"/>
  <c r="K74" i="1"/>
  <c r="K85" i="1"/>
  <c r="K62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5" i="1"/>
  <c r="B43" i="1"/>
  <c r="C136" i="1"/>
  <c r="J136" i="1" s="1"/>
  <c r="D6" i="17" l="1"/>
  <c r="E6" i="17"/>
  <c r="E6" i="5"/>
  <c r="C15" i="17"/>
  <c r="C17" i="5"/>
  <c r="L95" i="1"/>
  <c r="L80" i="1" s="1"/>
  <c r="L98" i="1"/>
  <c r="D9" i="17" l="1"/>
  <c r="E9" i="17"/>
  <c r="E9" i="5"/>
  <c r="D11" i="17" l="1"/>
  <c r="E11" i="17"/>
  <c r="B7" i="5" l="1"/>
  <c r="B9" i="17" l="1"/>
  <c r="Q31" i="1"/>
  <c r="Q33" i="1" s="1"/>
  <c r="D31" i="1"/>
  <c r="Q30" i="1"/>
  <c r="H92" i="1" l="1"/>
  <c r="H72" i="1"/>
  <c r="H89" i="1"/>
  <c r="B129" i="1"/>
  <c r="B119" i="1"/>
  <c r="B107" i="1"/>
  <c r="B118" i="1"/>
  <c r="B106" i="1"/>
  <c r="H86" i="1"/>
  <c r="H98" i="1"/>
  <c r="H75" i="1"/>
  <c r="H66" i="1"/>
  <c r="H83" i="1"/>
  <c r="H69" i="1"/>
  <c r="H63" i="1"/>
  <c r="H80" i="1"/>
  <c r="H95" i="1"/>
  <c r="B11" i="17"/>
  <c r="G56" i="1" l="1"/>
  <c r="I56" i="1" s="1"/>
  <c r="J56" i="1" s="1"/>
  <c r="M56" i="1" s="1"/>
  <c r="K89" i="1"/>
  <c r="K92" i="1"/>
  <c r="M92" i="1" s="1"/>
  <c r="O92" i="1" s="1"/>
  <c r="K72" i="1"/>
  <c r="M72" i="1" s="1"/>
  <c r="O72" i="1" s="1"/>
  <c r="M89" i="1"/>
  <c r="O89" i="1" s="1"/>
  <c r="E15" i="17"/>
  <c r="E17" i="5"/>
  <c r="D17" i="5"/>
  <c r="D15" i="17"/>
  <c r="K69" i="1"/>
  <c r="K98" i="1"/>
  <c r="M98" i="1" s="1"/>
  <c r="O98" i="1" s="1"/>
  <c r="K75" i="1"/>
  <c r="K83" i="1"/>
  <c r="M83" i="1" s="1"/>
  <c r="O83" i="1" s="1"/>
  <c r="K86" i="1"/>
  <c r="M86" i="1" s="1"/>
  <c r="O86" i="1" s="1"/>
  <c r="K80" i="1"/>
  <c r="M80" i="1" s="1"/>
  <c r="O80" i="1" s="1"/>
  <c r="K66" i="1"/>
  <c r="K63" i="1"/>
  <c r="K95" i="1"/>
  <c r="M95" i="1" s="1"/>
  <c r="O95" i="1" s="1"/>
  <c r="G55" i="1"/>
  <c r="I55" i="1" s="1"/>
  <c r="A12" i="5"/>
  <c r="A11" i="5"/>
  <c r="E11" i="5" l="1"/>
  <c r="B11" i="5"/>
  <c r="C6" i="17" l="1"/>
  <c r="C6" i="5"/>
  <c r="C9" i="5" l="1"/>
  <c r="C13" i="5"/>
  <c r="C9" i="17"/>
  <c r="L94" i="1"/>
  <c r="L79" i="1" s="1"/>
  <c r="L96" i="1"/>
  <c r="C11" i="17" l="1"/>
  <c r="L97" i="1"/>
  <c r="M88" i="1" s="1"/>
  <c r="O88" i="1" s="1"/>
  <c r="B19" i="5" l="1"/>
  <c r="B21" i="5" l="1"/>
  <c r="B27" i="5"/>
  <c r="A21" i="5"/>
  <c r="A19" i="5"/>
  <c r="D19" i="1"/>
  <c r="A8" i="5"/>
  <c r="Q18" i="1"/>
  <c r="B2" i="5"/>
  <c r="B3" i="5"/>
  <c r="A4" i="5"/>
  <c r="A3" i="5"/>
  <c r="A2" i="5"/>
  <c r="B4" i="5"/>
  <c r="Q19" i="1"/>
  <c r="Q21" i="1" l="1"/>
  <c r="K87" i="1" s="1"/>
  <c r="H90" i="1"/>
  <c r="H70" i="1"/>
  <c r="H87" i="1"/>
  <c r="B127" i="1"/>
  <c r="A42" i="1"/>
  <c r="B116" i="1"/>
  <c r="B104" i="1"/>
  <c r="H96" i="1"/>
  <c r="H73" i="1"/>
  <c r="H81" i="1"/>
  <c r="H67" i="1"/>
  <c r="H78" i="1"/>
  <c r="H93" i="1"/>
  <c r="H84" i="1"/>
  <c r="H64" i="1"/>
  <c r="H61" i="1"/>
  <c r="B5" i="17"/>
  <c r="M85" i="1"/>
  <c r="O85" i="1" s="1"/>
  <c r="M97" i="1"/>
  <c r="O97" i="1" s="1"/>
  <c r="M79" i="1"/>
  <c r="O79" i="1" s="1"/>
  <c r="M75" i="1"/>
  <c r="O75" i="1" s="1"/>
  <c r="M63" i="1"/>
  <c r="O63" i="1" s="1"/>
  <c r="M66" i="1"/>
  <c r="O66" i="1" s="1"/>
  <c r="M69" i="1"/>
  <c r="O69" i="1" s="1"/>
  <c r="M94" i="1"/>
  <c r="O94" i="1" s="1"/>
  <c r="M82" i="1"/>
  <c r="O82" i="1" s="1"/>
  <c r="B5" i="5"/>
  <c r="G58" i="1" l="1"/>
  <c r="I58" i="1" s="1"/>
  <c r="G57" i="1"/>
  <c r="I57" i="1" s="1"/>
  <c r="G52" i="1"/>
  <c r="I52" i="1" s="1"/>
  <c r="G53" i="1"/>
  <c r="I53" i="1" s="1"/>
  <c r="G45" i="1"/>
  <c r="I45" i="1" s="1"/>
  <c r="J45" i="1" s="1"/>
  <c r="G46" i="1"/>
  <c r="I46" i="1" s="1"/>
  <c r="G44" i="1"/>
  <c r="I44" i="1" s="1"/>
  <c r="J44" i="1" s="1"/>
  <c r="K81" i="1"/>
  <c r="M81" i="1" s="1"/>
  <c r="O81" i="1" s="1"/>
  <c r="M87" i="1"/>
  <c r="O87" i="1" s="1"/>
  <c r="K90" i="1"/>
  <c r="M90" i="1" s="1"/>
  <c r="O90" i="1" s="1"/>
  <c r="Q35" i="1"/>
  <c r="K70" i="1"/>
  <c r="M70" i="1" s="1"/>
  <c r="O70" i="1" s="1"/>
  <c r="C104" i="1"/>
  <c r="C119" i="1"/>
  <c r="I66" i="1"/>
  <c r="I75" i="1"/>
  <c r="C129" i="1"/>
  <c r="I96" i="1"/>
  <c r="I83" i="1"/>
  <c r="I73" i="1"/>
  <c r="I80" i="1"/>
  <c r="C107" i="1"/>
  <c r="I95" i="1"/>
  <c r="I78" i="1"/>
  <c r="I64" i="1"/>
  <c r="C116" i="1"/>
  <c r="C127" i="1"/>
  <c r="I81" i="1"/>
  <c r="I69" i="1"/>
  <c r="I84" i="1"/>
  <c r="C106" i="1"/>
  <c r="I93" i="1"/>
  <c r="I67" i="1"/>
  <c r="I86" i="1"/>
  <c r="C118" i="1"/>
  <c r="I98" i="1"/>
  <c r="B6" i="17"/>
  <c r="B6" i="5"/>
  <c r="I63" i="1"/>
  <c r="I61" i="1"/>
  <c r="B15" i="17"/>
  <c r="B17" i="5"/>
  <c r="K78" i="1"/>
  <c r="M78" i="1" s="1"/>
  <c r="O78" i="1" s="1"/>
  <c r="K93" i="1"/>
  <c r="M93" i="1" s="1"/>
  <c r="O93" i="1" s="1"/>
  <c r="K67" i="1"/>
  <c r="M67" i="1" s="1"/>
  <c r="O67" i="1" s="1"/>
  <c r="K84" i="1"/>
  <c r="M84" i="1" s="1"/>
  <c r="O84" i="1" s="1"/>
  <c r="K64" i="1"/>
  <c r="M64" i="1" s="1"/>
  <c r="O64" i="1" s="1"/>
  <c r="K61" i="1"/>
  <c r="M61" i="1" s="1"/>
  <c r="O61" i="1" s="1"/>
  <c r="K96" i="1"/>
  <c r="M96" i="1" s="1"/>
  <c r="O96" i="1" s="1"/>
  <c r="K73" i="1"/>
  <c r="M73" i="1" s="1"/>
  <c r="O73" i="1" s="1"/>
  <c r="J55" i="1"/>
  <c r="M62" i="1"/>
  <c r="O62" i="1" s="1"/>
  <c r="G43" i="1"/>
  <c r="I43" i="1" s="1"/>
  <c r="J43" i="1" s="1"/>
  <c r="M68" i="1"/>
  <c r="O68" i="1" s="1"/>
  <c r="M65" i="1"/>
  <c r="O65" i="1" s="1"/>
  <c r="M74" i="1"/>
  <c r="O74" i="1" s="1"/>
  <c r="B13" i="5" l="1"/>
  <c r="B9" i="5"/>
  <c r="J57" i="1"/>
  <c r="M57" i="1" s="1"/>
  <c r="J58" i="1"/>
  <c r="M58" i="1" s="1"/>
  <c r="J53" i="1"/>
  <c r="M53" i="1" s="1"/>
  <c r="J52" i="1"/>
  <c r="M52" i="1" s="1"/>
  <c r="J46" i="1"/>
  <c r="M46" i="1" s="1"/>
  <c r="M45" i="1"/>
  <c r="M44" i="1"/>
  <c r="M51" i="1"/>
  <c r="M43" i="1"/>
  <c r="M50" i="1"/>
  <c r="M5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<sst xmlns="http://schemas.openxmlformats.org/spreadsheetml/2006/main" count="4148" uniqueCount="970">
  <si>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</si>
  <si>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</si>
  <si>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</si>
  <si>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</si>
  <si>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</si>
  <si>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</si>
  <si>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</si>
  <si>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</si>
  <si>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</si>
  <si>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</si>
  <si>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</si>
  <si>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</si>
  <si>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</si>
  <si>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</si>
  <si>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</si>
  <si>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</si>
  <si>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</si>
  <si>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</si>
  <si>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</si>
  <si>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</si>
  <si>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</si>
  <si>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</si>
  <si>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</si>
  <si>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</si>
  <si>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</si>
  <si>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</si>
  <si>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</si>
  <si>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</si>
  <si>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</si>
  <si>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</si>
  <si>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</si>
  <si>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</si>
  <si>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</si>
  <si>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</si>
  <si>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</si>
  <si>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</si>
  <si>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</si>
  <si>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</si>
  <si>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</si>
  <si>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</si>
  <si>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</si>
  <si>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</si>
  <si>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</si>
  <si>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</si>
  <si>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</si>
  <si>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</si>
  <si>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</si>
  <si>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</si>
  <si>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</si>
  <si>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</si>
  <si>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</si>
  <si>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</si>
  <si>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</si>
  <si>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</si>
  <si>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</si>
  <si>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</si>
  <si>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</si>
  <si>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</si>
  <si>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</si>
  <si>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</si>
  <si>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</si>
  <si>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</si>
  <si>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</si>
  <si>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</si>
  <si>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</si>
  <si>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</si>
  <si>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</si>
  <si>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</si>
  <si>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</si>
  <si>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</si>
  <si>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</si>
  <si>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</si>
  <si>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</si>
  <si>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</si>
  <si>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</si>
  <si>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</si>
  <si>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</si>
  <si>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</si>
  <si>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</si>
  <si>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</si>
  <si>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</si>
  <si>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</si>
  <si>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</si>
  <si>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</si>
  <si>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</si>
  <si>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</si>
  <si>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</si>
  <si>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</si>
  <si>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</si>
  <si>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</si>
  <si>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</si>
  <si>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</si>
  <si>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</si>
  <si>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</si>
  <si>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</si>
  <si>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</si>
  <si>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</si>
  <si>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</si>
  <si>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</si>
  <si>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</si>
  <si>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</si>
  <si>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</si>
  <si>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</si>
  <si>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</si>
  <si>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</si>
  <si>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</si>
  <si>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</si>
  <si>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</si>
  <si>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</si>
  <si>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</si>
  <si>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</si>
  <si>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</si>
  <si>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</si>
  <si>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</si>
  <si>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</si>
  <si>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</si>
  <si>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</si>
  <si>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</si>
  <si>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</si>
  <si>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</si>
  <si>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</si>
  <si>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</si>
  <si>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</si>
  <si>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</si>
  <si>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</si>
  <si>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</si>
  <si>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</si>
  <si>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</si>
  <si>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</si>
  <si>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</si>
  <si>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</si>
  <si>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</si>
  <si>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</si>
  <si>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</si>
  <si>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</si>
  <si>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</si>
  <si>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</si>
  <si>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</si>
  <si>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</si>
  <si>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</si>
  <si>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</si>
  <si>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</si>
  <si>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</si>
  <si>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</si>
  <si>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</si>
  <si>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</si>
  <si>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</si>
  <si>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</si>
  <si>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</si>
  <si>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</si>
  <si>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</si>
  <si>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</si>
  <si>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</si>
  <si>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</si>
  <si>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</si>
  <si>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</si>
  <si>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</si>
  <si>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</si>
  <si>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</si>
  <si>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</si>
  <si>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</si>
  <si>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</si>
  <si>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</si>
  <si>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</si>
  <si>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</si>
  <si>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</si>
  <si>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</si>
  <si>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</si>
  <si>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</si>
  <si>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</si>
  <si>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</si>
  <si>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</si>
  <si>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</si>
  <si>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</si>
  <si>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</si>
  <si>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</si>
  <si>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</si>
  <si>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</si>
  <si>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</si>
  <si>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</si>
  <si>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</si>
  <si>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</si>
  <si>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</si>
  <si>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</si>
  <si>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</si>
  <si>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</si>
  <si>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</si>
  <si>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</si>
  <si>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</si>
  <si>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</si>
  <si>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</si>
  <si>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</si>
  <si>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</si>
  <si>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</si>
  <si>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</si>
  <si>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</si>
  <si>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</si>
  <si>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</si>
  <si>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</si>
  <si>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</si>
  <si>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</si>
  <si>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</si>
  <si>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</si>
  <si>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</si>
  <si>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</si>
  <si>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</si>
  <si>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</si>
  <si>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</si>
  <si>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</si>
  <si>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</si>
  <si>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</si>
  <si>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</si>
  <si>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</si>
  <si>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</si>
  <si>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</si>
  <si>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</si>
  <si>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</si>
  <si>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</si>
  <si>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</si>
  <si>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</si>
  <si>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</si>
  <si>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</si>
  <si>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</si>
  <si>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</si>
  <si>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</si>
  <si>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</si>
  <si>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</si>
  <si>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</si>
  <si>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</si>
  <si>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</si>
  <si>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</si>
  <si>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</si>
  <si>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</si>
  <si>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</si>
  <si>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</si>
  <si>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</si>
  <si>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</si>
  <si>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</si>
  <si>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</si>
  <si>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</si>
  <si>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</si>
  <si>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</si>
  <si>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</si>
  <si>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</si>
  <si>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</si>
  <si>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</si>
  <si>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</si>
  <si>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</si>
  <si>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</si>
  <si>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</si>
  <si>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</si>
  <si>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</si>
  <si>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</si>
  <si>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</si>
  <si>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</si>
  <si>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</si>
  <si>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</si>
  <si>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</si>
  <si>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</si>
  <si>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</si>
  <si>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</si>
  <si>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</si>
  <si>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</si>
  <si>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</si>
  <si>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</si>
  <si>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</si>
  <si>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</si>
  <si>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</si>
  <si>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</si>
  <si>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</si>
  <si>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</si>
  <si>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</si>
  <si>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</si>
  <si>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</si>
  <si>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</si>
  <si>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</si>
  <si>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</si>
  <si>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</si>
  <si>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</si>
  <si>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</si>
  <si>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</si>
  <si>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</si>
  <si>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</si>
  <si>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</si>
  <si>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</si>
  <si>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</si>
  <si>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</si>
  <si>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</si>
  <si>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</si>
  <si>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</si>
  <si>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</si>
  <si>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</si>
  <si>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</si>
  <si>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</si>
  <si>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</si>
  <si>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</si>
  <si>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</si>
  <si>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</si>
  <si>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</si>
  <si>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</si>
  <si>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</si>
  <si>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</si>
  <si>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</si>
  <si>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</si>
  <si>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</si>
  <si>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</si>
  <si>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</si>
  <si>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</si>
  <si>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</si>
  <si>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</si>
  <si>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</si>
  <si>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</si>
  <si>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</si>
  <si>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</si>
  <si>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</si>
  <si>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</si>
  <si>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</si>
  <si>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</si>
  <si>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</si>
  <si>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</si>
  <si>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</si>
  <si>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</si>
  <si>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</si>
  <si>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</si>
  <si>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</si>
  <si>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</si>
  <si>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</si>
  <si>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</si>
  <si>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</si>
  <si>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</si>
  <si>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</si>
  <si>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</si>
  <si>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</si>
  <si>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</si>
  <si>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</si>
  <si>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</si>
  <si>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</si>
  <si>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</si>
  <si>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</si>
  <si>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</si>
  <si>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</si>
  <si>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</si>
  <si>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</si>
  <si>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</si>
  <si>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</si>
  <si>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</si>
  <si>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</si>
  <si>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</si>
  <si>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</si>
  <si>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</si>
  <si>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</si>
  <si>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</si>
  <si>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</si>
  <si>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</si>
  <si>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</si>
  <si>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</si>
  <si>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</si>
  <si>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</si>
  <si>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</si>
  <si>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</si>
  <si>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</si>
  <si>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</si>
  <si>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</si>
  <si>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</si>
  <si>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</si>
  <si>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</si>
  <si>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</si>
  <si>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</si>
  <si>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</si>
  <si>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</si>
  <si>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</si>
  <si>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</si>
  <si>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</si>
  <si>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</si>
  <si>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</si>
  <si>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</si>
  <si>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</si>
  <si>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</si>
  <si>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</si>
  <si>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</si>
  <si>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</si>
  <si>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</si>
  <si>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</si>
  <si>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</si>
  <si>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</si>
  <si>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</si>
  <si>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</si>
  <si>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</si>
  <si>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</si>
  <si>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</si>
  <si>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</si>
  <si>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</si>
  <si>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</si>
  <si>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</si>
  <si>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</si>
  <si>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</si>
  <si>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</si>
  <si>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</si>
  <si>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</si>
  <si>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</si>
  <si>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</si>
  <si>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</si>
  <si>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</si>
  <si>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</si>
  <si>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</si>
  <si>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</si>
  <si>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</si>
  <si>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</si>
  <si>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</si>
  <si>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</si>
  <si>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</si>
  <si>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</si>
  <si>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</si>
  <si>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</si>
  <si>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</si>
  <si>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</si>
  <si>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</si>
  <si>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</si>
  <si>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</si>
  <si>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</si>
  <si>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</si>
  <si>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</si>
  <si>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</si>
  <si>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</si>
  <si>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</si>
  <si>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</si>
  <si>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</si>
  <si>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</si>
  <si>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</si>
  <si>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</si>
  <si>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</si>
  <si>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</si>
  <si>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</si>
  <si>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</si>
  <si>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</si>
  <si>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</si>
  <si>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</si>
  <si>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</si>
  <si>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</si>
  <si>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</si>
  <si>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</si>
  <si>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</si>
  <si>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</si>
  <si>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</si>
  <si>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</si>
  <si>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</si>
  <si>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</si>
  <si>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</si>
  <si>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</si>
  <si>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</si>
  <si>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</si>
  <si>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</si>
  <si>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</si>
  <si>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</si>
  <si>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</si>
  <si>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</si>
  <si>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</si>
  <si>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</si>
  <si>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</si>
  <si>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</si>
  <si>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</si>
  <si>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</si>
  <si>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</si>
  <si>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</si>
  <si>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</si>
  <si>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</si>
  <si>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</si>
  <si>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</si>
  <si>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</si>
  <si>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</si>
  <si>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</si>
  <si>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</si>
  <si>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</si>
  <si>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</si>
  <si>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</si>
  <si>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</si>
  <si>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</si>
  <si>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</si>
  <si>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</si>
  <si>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</si>
  <si>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</si>
  <si>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</si>
  <si>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</si>
  <si>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</si>
  <si>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</si>
  <si>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</si>
  <si>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</si>
  <si>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</si>
  <si>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</si>
  <si>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</si>
  <si>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</si>
  <si>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</si>
  <si>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</si>
  <si>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</si>
  <si>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</si>
  <si>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</si>
  <si>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</si>
  <si>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</si>
  <si>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</si>
  <si>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</si>
  <si>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</si>
  <si>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</si>
  <si>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</si>
  <si>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</si>
  <si>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</si>
  <si>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</si>
  <si>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</si>
  <si>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</si>
  <si>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</si>
  <si>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</si>
  <si>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</si>
  <si>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</si>
  <si>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</si>
  <si>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</si>
  <si>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</si>
  <si>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</si>
  <si>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</si>
  <si>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</si>
  <si>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</si>
  <si>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</si>
  <si>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</si>
  <si>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</si>
  <si>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</si>
  <si>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</si>
  <si>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</si>
  <si>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</si>
  <si>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</si>
  <si>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</si>
  <si>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</si>
  <si>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</si>
  <si>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</si>
  <si>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</si>
  <si>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</si>
  <si>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</si>
  <si>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</si>
  <si>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</si>
  <si>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</si>
  <si>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</si>
  <si>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</si>
  <si>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</si>
  <si>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</si>
  <si>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</si>
  <si>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</si>
  <si>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</si>
  <si>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</si>
  <si>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</si>
  <si>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</si>
  <si>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</si>
  <si>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</si>
  <si>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</si>
  <si>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</si>
  <si>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</si>
  <si>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</si>
  <si>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</si>
  <si>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</si>
  <si>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</si>
  <si>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</si>
  <si>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</si>
  <si>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</si>
  <si>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</si>
  <si>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</si>
  <si>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</si>
  <si>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</si>
  <si>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</si>
  <si>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</si>
  <si>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</si>
  <si>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</si>
  <si>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</si>
  <si>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</si>
  <si>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</si>
  <si>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</si>
  <si>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</si>
  <si>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</si>
  <si>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</si>
  <si>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</si>
  <si>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</si>
  <si>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</si>
  <si>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</si>
  <si>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</si>
  <si>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</si>
  <si>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</si>
  <si>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</si>
  <si>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</si>
  <si>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</si>
  <si>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</si>
  <si>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</si>
  <si>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</si>
  <si>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</si>
  <si>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</si>
  <si>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</si>
  <si>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</si>
  <si>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</si>
  <si>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</si>
  <si>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</si>
  <si>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</si>
  <si>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</si>
  <si>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</si>
  <si>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</si>
  <si>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</si>
  <si>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</si>
  <si>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</si>
  <si>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</si>
  <si>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</si>
  <si>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</si>
  <si>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</si>
  <si>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</si>
  <si>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</si>
  <si>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</si>
  <si>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</si>
  <si>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</si>
  <si>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</si>
  <si>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</si>
  <si>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</si>
  <si>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</si>
  <si>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</si>
  <si>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</si>
  <si>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</si>
  <si>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</si>
  <si>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</si>
  <si>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</si>
  <si>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</si>
  <si>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</si>
  <si>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</si>
  <si>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</si>
  <si>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</si>
  <si>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</si>
  <si>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</si>
  <si>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</si>
  <si>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</si>
  <si>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</si>
  <si>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</si>
  <si>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</si>
  <si>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</si>
  <si>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</si>
  <si>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</si>
  <si>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</si>
  <si>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</si>
  <si>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</si>
  <si>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</si>
  <si>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</si>
  <si>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</si>
  <si>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</si>
  <si>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</si>
  <si>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</si>
  <si>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</si>
  <si>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</si>
  <si>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</si>
  <si>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</si>
  <si>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</si>
  <si>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</si>
  <si>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</si>
  <si>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</si>
  <si>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</si>
  <si>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</si>
  <si>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</si>
  <si>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</si>
  <si>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</si>
  <si>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</si>
  <si>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</si>
  <si>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</si>
  <si>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</si>
  <si>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</si>
  <si>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</si>
  <si>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</si>
  <si>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</si>
  <si>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</si>
  <si>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</si>
  <si>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</si>
  <si>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</si>
  <si>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</si>
  <si>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</si>
  <si>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</si>
  <si>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</si>
  <si>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</si>
  <si>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</si>
  <si>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</si>
  <si>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</si>
  <si>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</si>
  <si>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</si>
  <si>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</si>
  <si>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</si>
  <si>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</si>
  <si>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</si>
  <si>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</si>
  <si>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</si>
  <si>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</si>
  <si>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</si>
  <si>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</si>
  <si>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</si>
  <si>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</si>
  <si>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</si>
  <si>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</si>
  <si>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</si>
  <si>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</si>
  <si>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</si>
  <si>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</si>
  <si>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</si>
  <si>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</si>
  <si>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</si>
  <si>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</si>
  <si>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</si>
  <si>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</si>
  <si>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</si>
  <si>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</si>
  <si>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</si>
  <si>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</si>
  <si>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</si>
  <si>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</si>
  <si>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</si>
  <si>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</si>
  <si>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</si>
  <si>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</si>
  <si>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</si>
  <si>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</si>
  <si>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</si>
  <si>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</si>
  <si>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</si>
  <si>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</si>
  <si>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</si>
  <si>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</si>
  <si>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</si>
  <si>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</si>
  <si>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</si>
  <si>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</si>
  <si>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</si>
  <si>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</si>
  <si>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</si>
  <si>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</si>
  <si>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</si>
  <si>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</si>
  <si>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</si>
  <si>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</si>
  <si>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</si>
  <si>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</si>
  <si>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</si>
  <si>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</si>
  <si>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</si>
  <si>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</si>
  <si>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</si>
  <si>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</si>
  <si>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</si>
  <si>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</si>
  <si>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</si>
  <si>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</si>
  <si>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</si>
  <si>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</si>
  <si>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</si>
  <si>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</si>
  <si>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</si>
  <si>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</si>
  <si>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</si>
  <si>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</si>
  <si>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</si>
  <si>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</si>
  <si>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</si>
  <si>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</si>
  <si>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</si>
  <si>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</si>
  <si>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</si>
  <si>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</si>
  <si>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</si>
  <si>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</si>
  <si>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</si>
  <si>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</si>
  <si>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</si>
  <si>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</si>
  <si>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GẮN SAU DYE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</si>
  <si>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</si>
  <si>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</si>
  <si>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</si>
  <si>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</si>
  <si>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</si>
  <si>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</si>
  <si>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</si>
  <si>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</si>
  <si>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</si>
  <si>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</si>
  <si>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</si>
  <si>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</si>
  <si>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FOUNDATION HOODIE</t>
  </si>
  <si>
    <t xml:space="preserve">BO LAI/
BO TAY </t>
  </si>
  <si>
    <t>BO LAI/
BO TAY</t>
  </si>
  <si>
    <t>TRIỂN KHAI SẢN XUẤT
THAM KHẢO CÁCH MAY: MẪU FIT  MÃ D15-CW35V3A1  MÀU GREY CHUYỂN CÙNG TÁC NGHIỆP NGÀY 10/6/24</t>
  </si>
  <si>
    <t>HOODIE</t>
  </si>
  <si>
    <t>MAY 2 CẠNH NHÃN TẠI GIỮA CỔ SAU
1/4" TỪ ĐƯỜNG MAY TRA CỔ SAU XUỐNG CẠNH NHÃN</t>
  </si>
  <si>
    <t>GẮN BÊN TRÁI NGƯỜI MẶC
TỪ TRA BO LÊN 2INCH</t>
  </si>
  <si>
    <t xml:space="preserve">SEASON </t>
  </si>
  <si>
    <t>SS24-BASICS</t>
  </si>
  <si>
    <t xml:space="preserve">ITEM DESCRIPTION </t>
  </si>
  <si>
    <t xml:space="preserve">100% COTTON </t>
  </si>
  <si>
    <t xml:space="preserve">STYLE NAME </t>
  </si>
  <si>
    <t xml:space="preserve">FABRIC </t>
  </si>
  <si>
    <t xml:space="preserve">STYLE # </t>
  </si>
  <si>
    <t xml:space="preserve">COLORWAYS </t>
  </si>
  <si>
    <t>Point</t>
  </si>
  <si>
    <t>Tol</t>
  </si>
  <si>
    <t>2XL</t>
  </si>
  <si>
    <t>GRADING</t>
  </si>
  <si>
    <t>FRONT HPS LENGTH</t>
  </si>
  <si>
    <t>Dài áo từ đỉnh vai</t>
  </si>
  <si>
    <t>1/2</t>
  </si>
  <si>
    <t>19 1/2</t>
  </si>
  <si>
    <t>20 1/2</t>
  </si>
  <si>
    <t>21 1/2</t>
  </si>
  <si>
    <t>221/2</t>
  </si>
  <si>
    <t>23 1/2</t>
  </si>
  <si>
    <t>24 1/2</t>
  </si>
  <si>
    <t>25 1/2</t>
  </si>
  <si>
    <t>CF  LENGTH</t>
  </si>
  <si>
    <t>Dài áo giữa thân trước</t>
  </si>
  <si>
    <t>15 1/2</t>
  </si>
  <si>
    <t>16 1/4</t>
  </si>
  <si>
    <t>173/4</t>
  </si>
  <si>
    <t>18 1/2</t>
  </si>
  <si>
    <t>19 1/4</t>
  </si>
  <si>
    <t>SIDE SEAM LENGTH</t>
  </si>
  <si>
    <t>PIT TO HEM</t>
  </si>
  <si>
    <t>Đường may sườn đến lai</t>
  </si>
  <si>
    <t>6 1/2</t>
  </si>
  <si>
    <t>71/2</t>
  </si>
  <si>
    <t>8 1/2</t>
  </si>
  <si>
    <t>CHEST</t>
  </si>
  <si>
    <t>1" BELOW AH</t>
  </si>
  <si>
    <t>Ngực 1" dưới nách</t>
  </si>
  <si>
    <t>ACROSS FRONT (8 1/2" DOWN FROM HPS)</t>
  </si>
  <si>
    <t>ngang trước (8 1/2" xuống từ đỉnh vai )</t>
  </si>
  <si>
    <t>28 1/2</t>
  </si>
  <si>
    <t>29 1/4</t>
  </si>
  <si>
    <t>303/4</t>
  </si>
  <si>
    <t>31 1/2</t>
  </si>
  <si>
    <t>32 1/4</t>
  </si>
  <si>
    <t>ACROSS BACK (9" DOWN FROM CB)</t>
  </si>
  <si>
    <t>ngang sau (9" xuống từ giữa cổ sau )</t>
  </si>
  <si>
    <t>28 3/4</t>
  </si>
  <si>
    <t>29 1/2</t>
  </si>
  <si>
    <t>301/4</t>
  </si>
  <si>
    <t>31 3/4</t>
  </si>
  <si>
    <t>32 1/2</t>
  </si>
  <si>
    <t>BOTTOM SWEEP (3/8 UP FROM RIB SEAM )</t>
  </si>
  <si>
    <t>Ngang lai (3/8 " từ đường tra rib lên )</t>
  </si>
  <si>
    <t>Xin chinh ts theo kh comment gmail 12/03/24</t>
  </si>
  <si>
    <t>BOTTOM SWEEP 
(AT OPENING )</t>
  </si>
  <si>
    <t>ngang lai (tại cạnh lai )</t>
  </si>
  <si>
    <t>Xin chinh ts theo kh comment gmail 12/03/25</t>
  </si>
  <si>
    <t xml:space="preserve">SHOULDER SLOPE </t>
  </si>
  <si>
    <t>XUOI vai</t>
  </si>
  <si>
    <t>1/4</t>
  </si>
  <si>
    <t>ACROSS SHOULDER
(SEAM TO SEAM)</t>
  </si>
  <si>
    <t>Ngang vai (đường may đến đường may )</t>
  </si>
  <si>
    <t>31 1/4</t>
  </si>
  <si>
    <t>32 3/4</t>
  </si>
  <si>
    <t>331/2</t>
  </si>
  <si>
    <t>34 1/4</t>
  </si>
  <si>
    <t>35 3/4</t>
  </si>
  <si>
    <t>Vòng nách ( đo thẳng )</t>
  </si>
  <si>
    <t>11 1/2</t>
  </si>
  <si>
    <t>121/2</t>
  </si>
  <si>
    <t>13 1/2</t>
  </si>
  <si>
    <t>BICEP (1" FROM ARMPIT)</t>
  </si>
  <si>
    <t>bắp tay (1 " dưới nách)</t>
  </si>
  <si>
    <t>10 1/2</t>
  </si>
  <si>
    <t>12 1/2</t>
  </si>
  <si>
    <t>ELBOW 
(10" FROM SHOULDER)</t>
  </si>
  <si>
    <t>khủy tay ( 10" từ vai )</t>
  </si>
  <si>
    <t>7 3/4</t>
  </si>
  <si>
    <t>8 1/8</t>
  </si>
  <si>
    <t>87/8</t>
  </si>
  <si>
    <t>9 1/4</t>
  </si>
  <si>
    <t>9 5/8</t>
  </si>
  <si>
    <t>SLEEVE OVERARM LENGTH (INC. RIB)</t>
  </si>
  <si>
    <t>Dà̀i tay (gồm rib)</t>
  </si>
  <si>
    <t>191/2</t>
  </si>
  <si>
    <t>SLEEVE WIDTH 
(1" UP FROM RIB SEAM)</t>
  </si>
  <si>
    <t>rộng cửa tay ( 1" từ đường tra rib )</t>
  </si>
  <si>
    <t>6 1/4</t>
  </si>
  <si>
    <t>63/4</t>
  </si>
  <si>
    <t>7 1/4</t>
  </si>
  <si>
    <t>7 1/2</t>
  </si>
  <si>
    <t>SLEEVE OPENING (RELAXED)</t>
  </si>
  <si>
    <t>Rộng cửa tay ( đo êm)</t>
  </si>
  <si>
    <t>3 1/8</t>
  </si>
  <si>
    <t>3 3/8</t>
  </si>
  <si>
    <t>3 5/8</t>
  </si>
  <si>
    <t>37/8</t>
  </si>
  <si>
    <t>4 1/8</t>
  </si>
  <si>
    <t>4 3/8</t>
  </si>
  <si>
    <t>4 5/8</t>
  </si>
  <si>
    <t>BACK NECK WIDTH 
(SEAM TO SEAM)</t>
  </si>
  <si>
    <t>Rộng cổ sau (từ đường may đến đường may)</t>
  </si>
  <si>
    <t>11 1/4</t>
  </si>
  <si>
    <t>113/4</t>
  </si>
  <si>
    <t>12 1/4</t>
  </si>
  <si>
    <t>FRONT NECK DROP</t>
  </si>
  <si>
    <t>Hạ cổ trước</t>
  </si>
  <si>
    <t>3 1/4</t>
  </si>
  <si>
    <t>3 1/2</t>
  </si>
  <si>
    <t>33/4</t>
  </si>
  <si>
    <t>4 1/4</t>
  </si>
  <si>
    <t>4 1/2</t>
  </si>
  <si>
    <t>BACK NECK DROP</t>
  </si>
  <si>
    <t>Hạ cổ sau</t>
  </si>
  <si>
    <t>1/8</t>
  </si>
  <si>
    <t>SLEEVE RIB HEIGHT</t>
  </si>
  <si>
    <t xml:space="preserve">To bản rib tay </t>
  </si>
  <si>
    <t>2 1/2</t>
  </si>
  <si>
    <t>21/2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</si>
  <si>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</si>
  <si>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</si>
  <si>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</si>
  <si>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</si>
  <si>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</si>
  <si>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</si>
  <si>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CF HOOD OVERLAP</t>
  </si>
  <si>
    <t xml:space="preserve">độ  chồm nhau tại nón trước </t>
  </si>
  <si>
    <t>FRONT POCKET TOP WIDTH</t>
  </si>
  <si>
    <t>Rộng  túi cạnh trên</t>
  </si>
  <si>
    <t>FRONT POCKET BOTTOM WIDTH</t>
  </si>
  <si>
    <t>Rộng  túi cạnh dưới cùng</t>
  </si>
  <si>
    <t>FRONT POCKET SIDE HEIGHT</t>
  </si>
  <si>
    <t>Cao cạnh sườn túi</t>
  </si>
  <si>
    <t>FRONT POCKET OPENING WIDTH</t>
  </si>
  <si>
    <t>Rộng túi áo</t>
  </si>
  <si>
    <t>WELT POCKET WIDTH</t>
  </si>
  <si>
    <t xml:space="preserve">Rộng Cơi túi </t>
  </si>
  <si>
    <r>
      <rPr>
        <b/>
        <i/>
        <sz val="7"/>
        <rFont val="Carlito"/>
        <family val="2"/>
      </rPr>
      <t>1/8</t>
    </r>
  </si>
  <si>
    <r>
      <rPr>
        <b/>
        <u/>
        <sz val="14"/>
        <color rgb="FF006FC0"/>
        <rFont val="Carlito"/>
        <family val="2"/>
      </rPr>
      <t>3/4</t>
    </r>
  </si>
  <si>
    <t>CENTER FRONT POCKET HEIGHT</t>
  </si>
  <si>
    <t>Cao giữa túi trước</t>
  </si>
  <si>
    <t>SINGLE JERSEY_100% COTTON_190GSM</t>
  </si>
  <si>
    <t>LÓT NẸP ĐỊNH HÌNH</t>
  </si>
  <si>
    <t>KEO MÈ</t>
  </si>
  <si>
    <t>CƠI TÚI</t>
  </si>
  <si>
    <t>TỒN UA</t>
  </si>
  <si>
    <t>RATIN 1.88 CÒN 1.75</t>
  </si>
  <si>
    <t>D15-SHD130V3A2M</t>
  </si>
  <si>
    <t>FABRIC</t>
  </si>
  <si>
    <t>ASH - BC01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</si>
  <si>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</si>
  <si>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</si>
  <si>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</si>
  <si>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</si>
  <si>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</si>
  <si>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</si>
  <si>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</si>
  <si>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DRFW24P1577005T00K-LOT 'T1553/5 ÁNH A- CẤP ĐỦ SỐ LƯỢNG</t>
  </si>
  <si>
    <t>DRFW24P1577006T00K
DỰ KIẾN BÙ 18.6</t>
  </si>
  <si>
    <t>DRFW24P1577007T00K-LOT '1536/5 ÁNH A- CẤP ĐỦ SỐ LƯỢNG</t>
  </si>
  <si>
    <t>DRFW24P1577008T00K-LOT 'T1536/5 ÁNH A- CẤP ĐỦ SỐ LƯỢNG</t>
  </si>
  <si>
    <t>DRFW24P1577010T00K
CHƯA VẢI DK 18.6</t>
  </si>
  <si>
    <t>DRFW24P1577011T00K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</si>
  <si>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</si>
  <si>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</si>
  <si>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</si>
  <si>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</si>
  <si>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</si>
  <si>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</si>
  <si>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HANDFEEL THEO ỐNG DUYỆT MÀU WASHED BLACK (MOON LIGHT) CHUYỂN 17.6.24</t>
  </si>
  <si>
    <t>DUYỆT HÀNG SẢN XUẤT</t>
  </si>
  <si>
    <t>TRIỂN KHAI MẪU MARKETING SAMPLE
THAM KHẢO CÁCH MAY: MẪU FIT MÃ D15-SHD130V3 MÀU WHITE ĐÃ CHUYỂN CÙNG TÁC NGHIỆP D15-SHD130V3A1M NGÀY 10/6/24</t>
  </si>
  <si>
    <t>DRFW24P1577009T00K-LOT '1102/6 CẤP ĐỦ SỐ LƯỢNG</t>
  </si>
  <si>
    <t>TRIỂN KHAI SẢN XUẤT:
THAM KHẢO CÁCH MAY: MẪU FIT MÃ D15-SHD130V3 MÀU WHITE ĐÃ CHUYỂN CÙNG TÁC NGHIỆP D15-SHD130V3A1M NGÀY 10/6/24</t>
  </si>
  <si>
    <t>MARKETING SAMPLE SHIP DB103_LA, DB103_CLOSET (THEO TN D15-SHD130V3A2M)</t>
  </si>
  <si>
    <t>LƯU Ý- THÔNG SỐ SẢN XUẤT CẦN CHÍNH XÁC 100%. 
SỐ LƯỢNG TRÊN ĐÃ TRỪ HÀNG MARKETING CHO HAI CỬA HÀNG DB103_LA VÀ DB103_CLOSET THEO TN TN D15-SHD130V3A2M CHUYỂN NGÀY 17.6.24</t>
  </si>
  <si>
    <t>XUỐNG TN SAU</t>
  </si>
  <si>
    <t>DRFW24P1577004T00K-
LOT '1553/5 ÁNH A- CẤP TT 585M
LOT '1554/5 ÁNH A- CẤP TT 786M</t>
  </si>
  <si>
    <t>DRFW24P1577005T00K-
LOT 'T1553/5 ÁNH A- CẤP TT 7M
LOT 'T1557/2 ÁNH A- CẤP TT 90M
LOT 'T1558/5 ÁNH A- CẤP TT 90M</t>
  </si>
  <si>
    <t xml:space="preserve">DRFW24P1577006T00K
LOT '1104/5 CẤP TT </t>
  </si>
  <si>
    <t>DRFW24P1577007T00K-
LOT '1534/5 ÁNH A- CẤP TT 648M
LOT '1531/5 ÁNH A- CẤP TT 31M
LOT '1542/5 ÁNH A- CẤP ĐỦ 698M</t>
  </si>
  <si>
    <t>DRFW24P1577008T00K-
LOT 'T1535/5 ÁNH A- CẤP TT 70M
LOT 'T1542/5 ÁNH A- CẤP TT 90M
LOT 'T1536/5 ÁNH A- CẤP ĐỦ 26M</t>
  </si>
  <si>
    <t>DRFW24P1577009T00K-LOT '1102/6 CẤP TT 9M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</si>
</sst>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9"/>
      <color rgb="FF000000"/>
      <name val="Muli"/>
    </font>
    <font>
      <sz val="12"/>
      <color indexed="8"/>
      <name val="Muli"/>
    </font>
    <font>
      <b/>
      <sz val="9"/>
      <color indexed="8"/>
      <name val="Muli"/>
    </font>
    <font>
      <sz val="12"/>
      <color rgb="FF242021"/>
      <name val="Muli"/>
    </font>
    <font>
      <b/>
      <i/>
      <sz val="7"/>
      <name val="Carlito"/>
      <family val="2"/>
    </font>
    <font>
      <b/>
      <sz val="14"/>
      <color indexed="8"/>
      <name val="Muli"/>
    </font>
    <font>
      <b/>
      <u/>
      <sz val="14"/>
      <color rgb="FF006FC0"/>
      <name val="Carlito"/>
      <family val="2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0" fontId="118" fillId="2" borderId="73" xfId="0" applyFont="1" applyFill="1" applyBorder="1" applyAlignment="1">
      <alignment wrapText="1"/>
    </xf>
    <xf numFmtId="0" fontId="118" fillId="2" borderId="74" xfId="0" applyFont="1" applyFill="1" applyBorder="1" applyAlignment="1">
      <alignment wrapText="1"/>
    </xf>
    <xf numFmtId="0" fontId="118" fillId="2" borderId="67" xfId="0" applyFont="1" applyFill="1" applyBorder="1" applyAlignment="1">
      <alignment wrapText="1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18" fillId="2" borderId="0" xfId="0" applyFont="1" applyFill="1"/>
    <xf numFmtId="0" fontId="118" fillId="2" borderId="72" xfId="0" applyFont="1" applyFill="1" applyBorder="1" applyAlignment="1">
      <alignment horizontal="left" wrapText="1"/>
    </xf>
    <xf numFmtId="0" fontId="117" fillId="0" borderId="67" xfId="0" applyFont="1" applyBorder="1" applyAlignment="1">
      <alignment horizontal="left" wrapText="1"/>
    </xf>
    <xf numFmtId="0" fontId="119" fillId="52" borderId="67" xfId="0" applyFont="1" applyFill="1" applyBorder="1" applyAlignment="1">
      <alignment horizontal="center"/>
    </xf>
    <xf numFmtId="0" fontId="118" fillId="2" borderId="69" xfId="0" applyFont="1" applyFill="1" applyBorder="1" applyAlignment="1">
      <alignment wrapText="1"/>
    </xf>
    <xf numFmtId="0" fontId="118" fillId="2" borderId="75" xfId="0" applyFont="1" applyFill="1" applyBorder="1" applyAlignment="1">
      <alignment wrapText="1"/>
    </xf>
    <xf numFmtId="0" fontId="120" fillId="2" borderId="67" xfId="0" applyFont="1" applyFill="1" applyBorder="1" applyAlignment="1">
      <alignment horizontal="left"/>
    </xf>
    <xf numFmtId="0" fontId="118" fillId="2" borderId="69" xfId="0" applyFont="1" applyFill="1" applyBorder="1"/>
    <xf numFmtId="0" fontId="120" fillId="2" borderId="75" xfId="0" applyFont="1" applyFill="1" applyBorder="1" applyAlignment="1">
      <alignment horizontal="center"/>
    </xf>
    <xf numFmtId="0" fontId="120" fillId="2" borderId="75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8" fillId="2" borderId="75" xfId="0" applyFont="1" applyFill="1" applyBorder="1"/>
    <xf numFmtId="0" fontId="118" fillId="2" borderId="75" xfId="0" applyFont="1" applyFill="1" applyBorder="1" applyAlignment="1">
      <alignment horizontal="center"/>
    </xf>
    <xf numFmtId="0" fontId="118" fillId="2" borderId="0" xfId="0" applyFont="1" applyFill="1" applyAlignment="1">
      <alignment horizontal="center"/>
    </xf>
    <xf numFmtId="0" fontId="120" fillId="2" borderId="67" xfId="0" applyFont="1" applyFill="1" applyBorder="1" applyAlignment="1">
      <alignment horizontal="left" vertical="top"/>
    </xf>
    <xf numFmtId="0" fontId="120" fillId="2" borderId="67" xfId="0" applyFont="1" applyFill="1" applyBorder="1" applyAlignment="1">
      <alignment horizontal="left" vertical="top" wrapText="1"/>
    </xf>
    <xf numFmtId="0" fontId="120" fillId="2" borderId="67" xfId="0" applyFont="1" applyFill="1" applyBorder="1" applyAlignment="1">
      <alignment horizontal="center" vertical="center"/>
    </xf>
    <xf numFmtId="0" fontId="120" fillId="0" borderId="67" xfId="0" applyFont="1" applyBorder="1" applyAlignment="1">
      <alignment horizontal="center" vertical="center"/>
    </xf>
    <xf numFmtId="0" fontId="120" fillId="3" borderId="67" xfId="0" applyFont="1" applyFill="1" applyBorder="1" applyAlignment="1">
      <alignment horizontal="center" vertical="center"/>
    </xf>
    <xf numFmtId="14" fontId="120" fillId="2" borderId="67" xfId="0" applyNumberFormat="1" applyFont="1" applyFill="1" applyBorder="1" applyAlignment="1">
      <alignment horizontal="center" vertical="center"/>
    </xf>
    <xf numFmtId="0" fontId="123" fillId="47" borderId="67" xfId="0" applyFont="1" applyFill="1" applyBorder="1" applyAlignment="1">
      <alignment horizontal="center" vertical="center" wrapText="1"/>
    </xf>
    <xf numFmtId="0" fontId="120" fillId="2" borderId="0" xfId="0" applyFont="1" applyFill="1" applyAlignment="1">
      <alignment horizontal="center"/>
    </xf>
    <xf numFmtId="0" fontId="118" fillId="2" borderId="9" xfId="0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vertical="center" wrapText="1"/>
    </xf>
    <xf numFmtId="12" fontId="119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20" fillId="3" borderId="67" xfId="0" applyNumberFormat="1" applyFont="1" applyFill="1" applyBorder="1" applyAlignment="1">
      <alignment horizontal="center"/>
    </xf>
    <xf numFmtId="12" fontId="120" fillId="0" borderId="67" xfId="0" applyNumberFormat="1" applyFont="1" applyBorder="1" applyAlignment="1">
      <alignment horizontal="center"/>
    </xf>
    <xf numFmtId="12" fontId="118" fillId="2" borderId="67" xfId="0" applyNumberFormat="1" applyFont="1" applyFill="1" applyBorder="1" applyAlignment="1">
      <alignment horizontal="center" vertical="center"/>
    </xf>
    <xf numFmtId="0" fontId="118" fillId="2" borderId="54" xfId="0" applyFont="1" applyFill="1" applyBorder="1" applyAlignment="1">
      <alignment horizontal="center"/>
    </xf>
    <xf numFmtId="0" fontId="118" fillId="2" borderId="73" xfId="0" applyFont="1" applyFill="1" applyBorder="1"/>
    <xf numFmtId="0" fontId="118" fillId="2" borderId="72" xfId="0" applyFont="1" applyFill="1" applyBorder="1" applyAlignment="1">
      <alignment wrapText="1"/>
    </xf>
    <xf numFmtId="0" fontId="124" fillId="0" borderId="67" xfId="0" applyFont="1" applyBorder="1" applyAlignment="1">
      <alignment wrapText="1"/>
    </xf>
    <xf numFmtId="12" fontId="100" fillId="3" borderId="67" xfId="0" applyNumberFormat="1" applyFont="1" applyFill="1" applyBorder="1" applyAlignment="1">
      <alignment horizontal="center"/>
    </xf>
    <xf numFmtId="0" fontId="118" fillId="47" borderId="0" xfId="0" applyFont="1" applyFill="1" applyAlignment="1">
      <alignment horizontal="left" vertical="top" wrapText="1"/>
    </xf>
    <xf numFmtId="0" fontId="118" fillId="47" borderId="0" xfId="0" applyFont="1" applyFill="1"/>
    <xf numFmtId="0" fontId="118" fillId="2" borderId="54" xfId="0" applyFont="1" applyFill="1" applyBorder="1" applyAlignment="1">
      <alignment horizontal="left"/>
    </xf>
    <xf numFmtId="0" fontId="118" fillId="2" borderId="53" xfId="0" applyFont="1" applyFill="1" applyBorder="1" applyAlignment="1">
      <alignment horizontal="left" wrapText="1"/>
    </xf>
    <xf numFmtId="12" fontId="118" fillId="0" borderId="67" xfId="0" applyNumberFormat="1" applyFont="1" applyBorder="1" applyAlignment="1">
      <alignment horizontal="center" vertical="center"/>
    </xf>
    <xf numFmtId="12" fontId="119" fillId="10" borderId="67" xfId="0" applyNumberFormat="1" applyFont="1" applyFill="1" applyBorder="1" applyAlignment="1">
      <alignment horizontal="center"/>
    </xf>
    <xf numFmtId="0" fontId="118" fillId="2" borderId="67" xfId="0" applyFont="1" applyFill="1" applyBorder="1" applyAlignment="1">
      <alignment horizontal="left" wrapText="1"/>
    </xf>
    <xf numFmtId="0" fontId="118" fillId="53" borderId="0" xfId="0" applyFont="1" applyFill="1"/>
    <xf numFmtId="0" fontId="118" fillId="0" borderId="67" xfId="0" applyFont="1" applyBorder="1" applyAlignment="1">
      <alignment horizontal="left" wrapText="1"/>
    </xf>
    <xf numFmtId="0" fontId="118" fillId="2" borderId="67" xfId="0" applyFont="1" applyFill="1" applyBorder="1" applyAlignment="1">
      <alignment horizontal="left" vertical="top" wrapText="1"/>
    </xf>
    <xf numFmtId="0" fontId="118" fillId="3" borderId="67" xfId="0" applyFont="1" applyFill="1" applyBorder="1" applyAlignment="1">
      <alignment horizontal="left" wrapText="1"/>
    </xf>
    <xf numFmtId="12" fontId="118" fillId="3" borderId="67" xfId="0" applyNumberFormat="1" applyFont="1" applyFill="1" applyBorder="1" applyAlignment="1">
      <alignment horizontal="center" vertical="center"/>
    </xf>
    <xf numFmtId="0" fontId="118" fillId="3" borderId="0" xfId="0" applyFont="1" applyFill="1"/>
    <xf numFmtId="12" fontId="100" fillId="3" borderId="67" xfId="0" quotePrefix="1" applyNumberFormat="1" applyFont="1" applyFill="1" applyBorder="1" applyAlignment="1">
      <alignment horizontal="center"/>
    </xf>
    <xf numFmtId="12" fontId="122" fillId="3" borderId="67" xfId="0" applyNumberFormat="1" applyFont="1" applyFill="1" applyBorder="1" applyAlignment="1">
      <alignment horizontal="center"/>
    </xf>
    <xf numFmtId="12" fontId="122" fillId="10" borderId="67" xfId="0" applyNumberFormat="1" applyFont="1" applyFill="1" applyBorder="1" applyAlignment="1">
      <alignment horizontal="center"/>
    </xf>
    <xf numFmtId="12" fontId="117" fillId="3" borderId="67" xfId="0" applyNumberFormat="1" applyFont="1" applyFill="1" applyBorder="1" applyAlignment="1">
      <alignment horizontal="center"/>
    </xf>
    <xf numFmtId="0" fontId="118" fillId="3" borderId="67" xfId="0" applyFont="1" applyFill="1" applyBorder="1" applyAlignment="1">
      <alignment horizontal="left" vertical="center" wrapText="1"/>
    </xf>
    <xf numFmtId="12" fontId="119" fillId="3" borderId="67" xfId="0" applyNumberFormat="1" applyFont="1" applyFill="1" applyBorder="1" applyAlignment="1">
      <alignment horizontal="center"/>
    </xf>
    <xf numFmtId="0" fontId="118" fillId="2" borderId="0" xfId="0" applyFont="1" applyFill="1" applyAlignment="1">
      <alignment wrapText="1"/>
    </xf>
    <xf numFmtId="0" fontId="117" fillId="3" borderId="67" xfId="0" applyFont="1" applyFill="1" applyBorder="1" applyAlignment="1">
      <alignment horizontal="center"/>
    </xf>
    <xf numFmtId="12" fontId="126" fillId="0" borderId="67" xfId="0" applyNumberFormat="1" applyFont="1" applyBorder="1" applyAlignment="1">
      <alignment horizontal="center"/>
    </xf>
    <xf numFmtId="12" fontId="126" fillId="3" borderId="67" xfId="0" applyNumberFormat="1" applyFont="1" applyFill="1" applyBorder="1" applyAlignment="1">
      <alignment horizontal="center"/>
    </xf>
    <xf numFmtId="0" fontId="49" fillId="2" borderId="67" xfId="0" applyFont="1" applyFill="1" applyBorder="1" applyAlignment="1">
      <alignment horizontal="center" vertical="center" wrapText="1"/>
    </xf>
    <xf numFmtId="1" fontId="49" fillId="2" borderId="67" xfId="0" applyNumberFormat="1" applyFont="1" applyFill="1" applyBorder="1" applyAlignment="1">
      <alignment horizontal="center" vertical="center" wrapText="1"/>
    </xf>
    <xf numFmtId="0" fontId="115" fillId="47" borderId="67" xfId="0" applyFont="1" applyFill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/>
    </xf>
    <xf numFmtId="1" fontId="32" fillId="0" borderId="67" xfId="1" applyNumberFormat="1" applyFont="1" applyBorder="1" applyAlignment="1">
      <alignment horizontal="center" vertical="center" wrapText="1"/>
    </xf>
    <xf numFmtId="0" fontId="52" fillId="0" borderId="67" xfId="2" applyFont="1" applyBorder="1" applyAlignment="1">
      <alignment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0" fontId="31" fillId="2" borderId="73" xfId="0" applyFont="1" applyFill="1" applyBorder="1" applyAlignment="1">
      <alignment horizontal="center" vertical="center"/>
    </xf>
    <xf numFmtId="1" fontId="31" fillId="2" borderId="74" xfId="0" applyNumberFormat="1" applyFont="1" applyFill="1" applyBorder="1" applyAlignment="1">
      <alignment horizontal="center"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113" fillId="0" borderId="9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0" fontId="118" fillId="2" borderId="67" xfId="0" applyFont="1" applyFill="1" applyBorder="1" applyAlignment="1">
      <alignment horizontal="left" wrapText="1"/>
    </xf>
    <xf numFmtId="0" fontId="118" fillId="3" borderId="67" xfId="0" applyFont="1" applyFill="1" applyBorder="1" applyAlignment="1">
      <alignment horizontal="left" wrapText="1"/>
    </xf>
    <xf numFmtId="0" fontId="118" fillId="2" borderId="67" xfId="0" applyFont="1" applyFill="1" applyBorder="1" applyAlignment="1">
      <alignment horizontal="left"/>
    </xf>
    <xf numFmtId="0" fontId="118" fillId="47" borderId="57" xfId="0" applyFont="1" applyFill="1" applyBorder="1" applyAlignment="1">
      <alignment horizontal="left" vertical="top" wrapText="1"/>
    </xf>
    <xf numFmtId="0" fontId="118" fillId="47" borderId="0" xfId="0" applyFont="1" applyFill="1" applyAlignment="1">
      <alignment horizontal="left" vertical="top" wrapText="1"/>
    </xf>
    <xf numFmtId="0" fontId="118" fillId="2" borderId="73" xfId="0" applyFont="1" applyFill="1" applyBorder="1" applyAlignment="1">
      <alignment horizontal="left" wrapText="1"/>
    </xf>
    <xf numFmtId="0" fontId="118" fillId="2" borderId="74" xfId="0" applyFont="1" applyFill="1" applyBorder="1" applyAlignment="1">
      <alignment horizontal="left" wrapText="1"/>
    </xf>
    <xf numFmtId="0" fontId="118" fillId="2" borderId="72" xfId="0" applyFont="1" applyFill="1" applyBorder="1" applyAlignment="1">
      <alignment horizontal="left" wrapText="1"/>
    </xf>
    <xf numFmtId="0" fontId="117" fillId="2" borderId="69" xfId="0" applyFont="1" applyFill="1" applyBorder="1" applyAlignment="1">
      <alignment horizontal="left"/>
    </xf>
    <xf numFmtId="0" fontId="117" fillId="2" borderId="75" xfId="0" applyFont="1" applyFill="1" applyBorder="1" applyAlignment="1">
      <alignment horizontal="left"/>
    </xf>
    <xf numFmtId="0" fontId="117" fillId="2" borderId="71" xfId="0" applyFont="1" applyFill="1" applyBorder="1" applyAlignment="1">
      <alignment horizontal="left"/>
    </xf>
    <xf numFmtId="0" fontId="118" fillId="2" borderId="73" xfId="0" applyFont="1" applyFill="1" applyBorder="1" applyAlignment="1">
      <alignment horizontal="left" vertical="center" wrapText="1"/>
    </xf>
    <xf numFmtId="0" fontId="118" fillId="2" borderId="74" xfId="0" applyFont="1" applyFill="1" applyBorder="1" applyAlignment="1">
      <alignment horizontal="left" vertical="center"/>
    </xf>
    <xf numFmtId="0" fontId="118" fillId="2" borderId="72" xfId="0" applyFont="1" applyFill="1" applyBorder="1" applyAlignment="1">
      <alignment horizontal="left" vertical="center"/>
    </xf>
    <xf numFmtId="0" fontId="120" fillId="2" borderId="67" xfId="0" applyFont="1" applyFill="1" applyBorder="1" applyAlignment="1">
      <alignment horizontal="left"/>
    </xf>
    <xf numFmtId="0" fontId="119" fillId="52" borderId="67" xfId="0" applyFont="1" applyFill="1" applyBorder="1" applyAlignment="1">
      <alignment horizontal="center"/>
    </xf>
    <xf numFmtId="0" fontId="120" fillId="2" borderId="67" xfId="0" applyFont="1" applyFill="1" applyBorder="1" applyAlignment="1">
      <alignment horizontal="left" vertical="top" wrapText="1"/>
    </xf>
    <xf numFmtId="0" fontId="118" fillId="2" borderId="43" xfId="0" applyFont="1" applyFill="1" applyBorder="1" applyAlignment="1">
      <alignment horizontal="left" vertical="center" wrapText="1"/>
    </xf>
    <xf numFmtId="0" fontId="118" fillId="2" borderId="9" xfId="0" applyFont="1" applyFill="1" applyBorder="1" applyAlignment="1">
      <alignment horizontal="left" vertical="center" wrapText="1"/>
    </xf>
    <xf numFmtId="0" fontId="117" fillId="2" borderId="73" xfId="0" applyFont="1" applyFill="1" applyBorder="1"/>
    <xf numFmtId="0" fontId="117" fillId="2" borderId="74" xfId="0" applyFont="1" applyFill="1" applyBorder="1"/>
    <xf numFmtId="0" fontId="117" fillId="2" borderId="72" xfId="0" applyFont="1" applyFill="1" applyBorder="1"/>
    <xf numFmtId="0" fontId="118" fillId="2" borderId="73" xfId="0" applyFont="1" applyFill="1" applyBorder="1" applyAlignment="1">
      <alignment horizontal="left"/>
    </xf>
    <xf numFmtId="0" fontId="118" fillId="2" borderId="74" xfId="0" applyFont="1" applyFill="1" applyBorder="1" applyAlignment="1">
      <alignment horizontal="left"/>
    </xf>
    <xf numFmtId="0" fontId="118" fillId="2" borderId="72" xfId="0" applyFont="1" applyFill="1" applyBorder="1" applyAlignment="1">
      <alignment horizontal="left"/>
    </xf>
    <xf numFmtId="0" fontId="117" fillId="2" borderId="67" xfId="0" applyFont="1" applyFill="1" applyBorder="1" applyAlignment="1">
      <alignment horizontal="left"/>
    </xf>
    <xf numFmtId="14" fontId="119" fillId="52" borderId="67" xfId="0" applyNumberFormat="1" applyFont="1" applyFill="1" applyBorder="1" applyAlignment="1">
      <alignment horizontal="center"/>
    </xf>
    <xf numFmtId="0" fontId="120" fillId="2" borderId="73" xfId="0" applyFont="1" applyFill="1" applyBorder="1" applyAlignment="1">
      <alignment horizontal="left"/>
    </xf>
    <xf numFmtId="0" fontId="120" fillId="2" borderId="74" xfId="0" applyFont="1" applyFill="1" applyBorder="1" applyAlignment="1">
      <alignment horizontal="left"/>
    </xf>
    <xf numFmtId="0" fontId="117" fillId="0" borderId="67" xfId="0" applyFont="1" applyBorder="1" applyAlignment="1">
      <alignment horizontal="left" wrapText="1"/>
    </xf>
    <xf numFmtId="0" fontId="121" fillId="52" borderId="67" xfId="0" applyFont="1" applyFill="1" applyBorder="1" applyAlignment="1">
      <alignment horizontal="left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theme" Target="theme/theme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1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0.png"/><Relationship Id="rId7" Type="http://schemas.openxmlformats.org/officeDocument/2006/relationships/image" Target="../media/image33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2.png"/><Relationship Id="rId5" Type="http://schemas.openxmlformats.org/officeDocument/2006/relationships/image" Target="../media/image1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image" Target="../media/image8.emf"/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12" Type="http://schemas.openxmlformats.org/officeDocument/2006/relationships/image" Target="../media/image46.emf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5.emf"/><Relationship Id="rId5" Type="http://schemas.openxmlformats.org/officeDocument/2006/relationships/image" Target="../media/image40.png"/><Relationship Id="rId10" Type="http://schemas.openxmlformats.org/officeDocument/2006/relationships/image" Target="../media/image45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6BD191D4-DC74-4E3B-B695-D0F1DE771B9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31075" y="2200275"/>
          <a:ext cx="1895475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83</xdr:row>
      <xdr:rowOff>152400</xdr:rowOff>
    </xdr:from>
    <xdr:to>
      <xdr:col>15</xdr:col>
      <xdr:colOff>1543050</xdr:colOff>
      <xdr:row>109</xdr:row>
      <xdr:rowOff>304800</xdr:rowOff>
    </xdr:to>
    <xdr:pic>
      <xdr:nvPicPr>
        <xdr:cNvPr id="3" name="image22.png">
          <a:extLst>
            <a:ext uri="{FF2B5EF4-FFF2-40B4-BE49-F238E27FC236}">
              <a16:creationId xmlns:a16="http://schemas.microsoft.com/office/drawing/2014/main" id="{26234394-C09E-4D8C-B660-B2E54BC46A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25975" y="75571350"/>
          <a:ext cx="4210050" cy="309562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991F65AB-47BE-43D5-B727-0D1A7AE254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97750" y="222885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100</xdr:row>
      <xdr:rowOff>152400</xdr:rowOff>
    </xdr:from>
    <xdr:to>
      <xdr:col>15</xdr:col>
      <xdr:colOff>1543050</xdr:colOff>
      <xdr:row>126</xdr:row>
      <xdr:rowOff>304800</xdr:rowOff>
    </xdr:to>
    <xdr:pic>
      <xdr:nvPicPr>
        <xdr:cNvPr id="4" name="image22.png">
          <a:extLst>
            <a:ext uri="{FF2B5EF4-FFF2-40B4-BE49-F238E27FC236}">
              <a16:creationId xmlns:a16="http://schemas.microsoft.com/office/drawing/2014/main" id="{82A7D899-C977-4499-9997-176C472BBE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92650" y="75704700"/>
          <a:ext cx="4210050" cy="310515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4</xdr:row>
      <xdr:rowOff>266700</xdr:rowOff>
    </xdr:from>
    <xdr:to>
      <xdr:col>16</xdr:col>
      <xdr:colOff>323850</xdr:colOff>
      <xdr:row>6</xdr:row>
      <xdr:rowOff>609600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1D78008A-42B2-40BD-89FC-D13266BAF57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31075" y="2200275"/>
          <a:ext cx="1895475" cy="180975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304800</xdr:colOff>
      <xdr:row>100</xdr:row>
      <xdr:rowOff>152400</xdr:rowOff>
    </xdr:from>
    <xdr:to>
      <xdr:col>15</xdr:col>
      <xdr:colOff>1543050</xdr:colOff>
      <xdr:row>126</xdr:row>
      <xdr:rowOff>304800</xdr:rowOff>
    </xdr:to>
    <xdr:pic>
      <xdr:nvPicPr>
        <xdr:cNvPr id="3" name="image22.png">
          <a:extLst>
            <a:ext uri="{FF2B5EF4-FFF2-40B4-BE49-F238E27FC236}">
              <a16:creationId xmlns:a16="http://schemas.microsoft.com/office/drawing/2014/main" id="{41A0FF37-842B-4E89-ADE4-0D0300B5250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25975" y="72723375"/>
          <a:ext cx="4210050" cy="309562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27</xdr:row>
      <xdr:rowOff>1738314</xdr:rowOff>
    </xdr:from>
    <xdr:to>
      <xdr:col>28</xdr:col>
      <xdr:colOff>131872</xdr:colOff>
      <xdr:row>27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19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23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1948037</xdr:colOff>
      <xdr:row>25</xdr:row>
      <xdr:rowOff>342902</xdr:rowOff>
    </xdr:from>
    <xdr:to>
      <xdr:col>2</xdr:col>
      <xdr:colOff>5283868</xdr:colOff>
      <xdr:row>25</xdr:row>
      <xdr:rowOff>3766774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409717" y="39058422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3505200</xdr:colOff>
      <xdr:row>27</xdr:row>
      <xdr:rowOff>1028700</xdr:rowOff>
    </xdr:from>
    <xdr:to>
      <xdr:col>2</xdr:col>
      <xdr:colOff>3370605</xdr:colOff>
      <xdr:row>27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27</xdr:row>
      <xdr:rowOff>1143000</xdr:rowOff>
    </xdr:from>
    <xdr:to>
      <xdr:col>5</xdr:col>
      <xdr:colOff>3390900</xdr:colOff>
      <xdr:row>27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27</xdr:row>
      <xdr:rowOff>4648200</xdr:rowOff>
    </xdr:from>
    <xdr:to>
      <xdr:col>12</xdr:col>
      <xdr:colOff>713800</xdr:colOff>
      <xdr:row>28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29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2671763</xdr:colOff>
      <xdr:row>29</xdr:row>
      <xdr:rowOff>228600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387263" y="72771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31</xdr:row>
      <xdr:rowOff>152400</xdr:rowOff>
    </xdr:from>
    <xdr:to>
      <xdr:col>2</xdr:col>
      <xdr:colOff>5791200</xdr:colOff>
      <xdr:row>31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33</xdr:row>
      <xdr:rowOff>457200</xdr:rowOff>
    </xdr:from>
    <xdr:to>
      <xdr:col>2</xdr:col>
      <xdr:colOff>3619500</xdr:colOff>
      <xdr:row>33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33</xdr:row>
      <xdr:rowOff>457200</xdr:rowOff>
    </xdr:from>
    <xdr:to>
      <xdr:col>5</xdr:col>
      <xdr:colOff>3333568</xdr:colOff>
      <xdr:row>33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35</xdr:row>
      <xdr:rowOff>190500</xdr:rowOff>
    </xdr:from>
    <xdr:to>
      <xdr:col>2</xdr:col>
      <xdr:colOff>2885490</xdr:colOff>
      <xdr:row>35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19</xdr:row>
      <xdr:rowOff>419100</xdr:rowOff>
    </xdr:from>
    <xdr:to>
      <xdr:col>32</xdr:col>
      <xdr:colOff>598838</xdr:colOff>
      <xdr:row>19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1790700</xdr:colOff>
      <xdr:row>19</xdr:row>
      <xdr:rowOff>571500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096000" y="31318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2476500</xdr:colOff>
      <xdr:row>21</xdr:row>
      <xdr:rowOff>495300</xdr:rowOff>
    </xdr:from>
    <xdr:to>
      <xdr:col>2</xdr:col>
      <xdr:colOff>5248728</xdr:colOff>
      <xdr:row>21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23</xdr:row>
      <xdr:rowOff>685800</xdr:rowOff>
    </xdr:from>
    <xdr:to>
      <xdr:col>3</xdr:col>
      <xdr:colOff>8475</xdr:colOff>
      <xdr:row>23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  <xdr:twoCellAnchor>
    <xdr:from>
      <xdr:col>2</xdr:col>
      <xdr:colOff>1638300</xdr:colOff>
      <xdr:row>0</xdr:row>
      <xdr:rowOff>1066800</xdr:rowOff>
    </xdr:from>
    <xdr:to>
      <xdr:col>2</xdr:col>
      <xdr:colOff>3543300</xdr:colOff>
      <xdr:row>3</xdr:row>
      <xdr:rowOff>190500</xdr:rowOff>
    </xdr:to>
    <xdr:pic>
      <xdr:nvPicPr>
        <xdr:cNvPr id="2" name="image22.png">
          <a:extLst>
            <a:ext uri="{FF2B5EF4-FFF2-40B4-BE49-F238E27FC236}">
              <a16:creationId xmlns:a16="http://schemas.microsoft.com/office/drawing/2014/main" id="{CA3E77A8-84F6-4F55-BD61-8A22F60D259C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15600" y="1066800"/>
          <a:ext cx="1905000" cy="18288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876300</xdr:colOff>
      <xdr:row>19</xdr:row>
      <xdr:rowOff>838200</xdr:rowOff>
    </xdr:from>
    <xdr:to>
      <xdr:col>5</xdr:col>
      <xdr:colOff>2446928</xdr:colOff>
      <xdr:row>19</xdr:row>
      <xdr:rowOff>3695343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753600" y="24345900"/>
          <a:ext cx="7971428" cy="28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99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33778AF0-0554-42CA-B268-8E36769AB4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01275" y="252672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7436</xdr:colOff>
      <xdr:row>1</xdr:row>
      <xdr:rowOff>323793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FE224B-3A3E-422E-9DE7-731C8FC8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69611" cy="4380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18794-3FBF-4B3B-B067-E344D76F2533}">
  <sheetPr>
    <pageSetUpPr fitToPage="1"/>
  </sheetPr>
  <dimension ref="A1:S141"/>
  <sheetViews>
    <sheetView tabSelected="1" view="pageBreakPreview" zoomScale="50" zoomScaleNormal="10" zoomScaleSheetLayoutView="50" zoomScalePageLayoutView="25" workbookViewId="0">
      <selection activeCell="D7" sqref="D7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8" width="9.1796875" style="38"/>
    <col min="19" max="19" width="12.726562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1" t="s">
        <v>0</v>
      </c>
      <c r="O1" s="451" t="s">
        <v>0</v>
      </c>
      <c r="P1" s="452" t="s">
        <v>1</v>
      </c>
      <c r="Q1" s="45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1" t="s">
        <v>2</v>
      </c>
      <c r="O2" s="451" t="s">
        <v>2</v>
      </c>
      <c r="P2" s="453" t="s">
        <v>3</v>
      </c>
      <c r="Q2" s="45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1" t="s">
        <v>4</v>
      </c>
      <c r="O3" s="451" t="s">
        <v>4</v>
      </c>
      <c r="P3" s="454" t="s">
        <v>5</v>
      </c>
      <c r="Q3" s="45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6" t="s">
        <v>960</v>
      </c>
      <c r="H5" s="437"/>
      <c r="I5" s="437"/>
      <c r="J5" s="437"/>
      <c r="K5" s="437"/>
      <c r="L5" s="437"/>
      <c r="M5" s="43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9"/>
      <c r="H6" s="440"/>
      <c r="I6" s="440"/>
      <c r="J6" s="440"/>
      <c r="K6" s="440"/>
      <c r="L6" s="440"/>
      <c r="M6" s="44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490</v>
      </c>
      <c r="E7" s="12"/>
      <c r="F7" s="11"/>
      <c r="G7" s="439"/>
      <c r="H7" s="440"/>
      <c r="I7" s="440"/>
      <c r="J7" s="440"/>
      <c r="K7" s="440"/>
      <c r="L7" s="440"/>
      <c r="M7" s="44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5" t="s">
        <v>779</v>
      </c>
      <c r="E8" s="445"/>
      <c r="F8" s="445"/>
      <c r="G8" s="442"/>
      <c r="H8" s="443"/>
      <c r="I8" s="443"/>
      <c r="J8" s="443"/>
      <c r="K8" s="443"/>
      <c r="L8" s="443"/>
      <c r="M8" s="44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783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6">
        <v>45462</v>
      </c>
      <c r="E11" s="447"/>
      <c r="F11" s="447"/>
      <c r="G11" s="241"/>
      <c r="H11" s="240"/>
      <c r="I11" s="186"/>
      <c r="J11" s="238" t="s">
        <v>20</v>
      </c>
      <c r="K11" s="186"/>
      <c r="L11" s="186"/>
      <c r="M11" s="448" t="s">
        <v>730</v>
      </c>
      <c r="N11" s="448"/>
      <c r="O11" s="448"/>
      <c r="P11" s="448"/>
      <c r="Q11" s="44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9"/>
      <c r="C13" s="449"/>
      <c r="D13" s="449"/>
      <c r="E13" s="449"/>
      <c r="F13" s="44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0" t="s">
        <v>935</v>
      </c>
      <c r="O17" s="450"/>
      <c r="P17" s="450"/>
      <c r="Q17" s="333" t="s">
        <v>40</v>
      </c>
    </row>
    <row r="18" spans="2:17" s="204" customFormat="1" ht="65">
      <c r="B18" s="330" t="s">
        <v>41</v>
      </c>
      <c r="C18" s="331" t="s">
        <v>491</v>
      </c>
      <c r="D18" s="205" t="s">
        <v>940</v>
      </c>
      <c r="E18" s="206"/>
      <c r="F18" s="207"/>
      <c r="G18" s="207">
        <v>21</v>
      </c>
      <c r="H18" s="207">
        <v>69</v>
      </c>
      <c r="I18" s="207">
        <v>179</v>
      </c>
      <c r="J18" s="207">
        <v>231</v>
      </c>
      <c r="K18" s="207">
        <v>184</v>
      </c>
      <c r="L18" s="207">
        <v>86</v>
      </c>
      <c r="M18" s="207">
        <v>25</v>
      </c>
      <c r="N18" s="461" t="s">
        <v>936</v>
      </c>
      <c r="O18" s="461"/>
      <c r="P18" s="461"/>
      <c r="Q18" s="208">
        <f>SUM(E18:P18)</f>
        <v>795</v>
      </c>
    </row>
    <row r="19" spans="2:17" s="204" customFormat="1" ht="65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3</v>
      </c>
      <c r="I19" s="209">
        <f>ROUNDUP(I18*3%,0)-1</f>
        <v>5</v>
      </c>
      <c r="J19" s="209">
        <f t="shared" ref="J19:K19" si="1">ROUNDUP(J18*3%,0)-1</f>
        <v>6</v>
      </c>
      <c r="K19" s="209">
        <f t="shared" si="1"/>
        <v>5</v>
      </c>
      <c r="L19" s="209">
        <f t="shared" si="0"/>
        <v>3</v>
      </c>
      <c r="M19" s="209">
        <f t="shared" si="0"/>
        <v>1</v>
      </c>
      <c r="N19" s="461"/>
      <c r="O19" s="461"/>
      <c r="P19" s="461"/>
      <c r="Q19" s="208">
        <f>SUM(E19:P19)</f>
        <v>24</v>
      </c>
    </row>
    <row r="20" spans="2:17" s="215" customFormat="1" ht="149.25" customHeight="1">
      <c r="B20" s="456" t="s">
        <v>961</v>
      </c>
      <c r="C20" s="456"/>
      <c r="D20" s="456"/>
      <c r="E20" s="456"/>
      <c r="F20" s="456"/>
      <c r="G20" s="233">
        <v>2</v>
      </c>
      <c r="H20" s="233">
        <v>4</v>
      </c>
      <c r="I20" s="233">
        <v>6</v>
      </c>
      <c r="J20" s="233">
        <v>10</v>
      </c>
      <c r="K20" s="233">
        <v>7</v>
      </c>
      <c r="L20" s="233">
        <v>5</v>
      </c>
      <c r="M20" s="233">
        <v>2</v>
      </c>
      <c r="N20" s="234"/>
      <c r="O20" s="234"/>
      <c r="P20" s="234"/>
      <c r="Q20" s="235">
        <f>SUM(G20:P20)</f>
        <v>36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2">SUM(H18:H19)-H20</f>
        <v>68</v>
      </c>
      <c r="I21" s="214">
        <f t="shared" si="2"/>
        <v>178</v>
      </c>
      <c r="J21" s="214">
        <f t="shared" si="2"/>
        <v>227</v>
      </c>
      <c r="K21" s="214">
        <f t="shared" si="2"/>
        <v>182</v>
      </c>
      <c r="L21" s="214">
        <f t="shared" si="2"/>
        <v>84</v>
      </c>
      <c r="M21" s="214">
        <f t="shared" si="2"/>
        <v>24</v>
      </c>
      <c r="N21" s="334"/>
      <c r="O21" s="334"/>
      <c r="P21" s="334"/>
      <c r="Q21" s="214">
        <f t="shared" ref="Q21" si="3">SUM(Q18:Q19)-Q20</f>
        <v>783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0" t="s">
        <v>935</v>
      </c>
      <c r="O23" s="450"/>
      <c r="P23" s="450"/>
      <c r="Q23" s="333" t="s">
        <v>40</v>
      </c>
    </row>
    <row r="24" spans="2:17" s="204" customFormat="1" ht="65">
      <c r="B24" s="330" t="s">
        <v>41</v>
      </c>
      <c r="C24" s="331" t="s">
        <v>499</v>
      </c>
      <c r="D24" s="205" t="s">
        <v>941</v>
      </c>
      <c r="E24" s="206"/>
      <c r="F24" s="207"/>
      <c r="G24" s="207">
        <v>20</v>
      </c>
      <c r="H24" s="207">
        <v>69</v>
      </c>
      <c r="I24" s="207">
        <v>179</v>
      </c>
      <c r="J24" s="207">
        <v>231</v>
      </c>
      <c r="K24" s="207">
        <v>184</v>
      </c>
      <c r="L24" s="207">
        <v>86</v>
      </c>
      <c r="M24" s="207">
        <v>25</v>
      </c>
      <c r="N24" s="455" t="s">
        <v>937</v>
      </c>
      <c r="O24" s="455"/>
      <c r="P24" s="455"/>
      <c r="Q24" s="208">
        <f>SUM(E24:P24)</f>
        <v>794</v>
      </c>
    </row>
    <row r="25" spans="2:17" s="204" customFormat="1" ht="65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>
        <f>ROUNDUP(G24*3%,0)</f>
        <v>1</v>
      </c>
      <c r="H25" s="209">
        <f t="shared" ref="H25:M25" si="4">ROUNDUP(H24*3%,0)</f>
        <v>3</v>
      </c>
      <c r="I25" s="209">
        <f>ROUNDUP(I24*3%,0)-1</f>
        <v>5</v>
      </c>
      <c r="J25" s="209">
        <f t="shared" ref="J25:K25" si="5">ROUNDUP(J24*3%,0)-1</f>
        <v>6</v>
      </c>
      <c r="K25" s="209">
        <f t="shared" si="5"/>
        <v>5</v>
      </c>
      <c r="L25" s="209">
        <f t="shared" si="4"/>
        <v>3</v>
      </c>
      <c r="M25" s="209">
        <f t="shared" si="4"/>
        <v>1</v>
      </c>
      <c r="N25" s="455"/>
      <c r="O25" s="455"/>
      <c r="P25" s="455"/>
      <c r="Q25" s="208">
        <f>SUM(E25:P25)</f>
        <v>24</v>
      </c>
    </row>
    <row r="26" spans="2:17" s="215" customFormat="1" ht="149.25" customHeight="1">
      <c r="B26" s="456" t="s">
        <v>961</v>
      </c>
      <c r="C26" s="456"/>
      <c r="D26" s="456"/>
      <c r="E26" s="456"/>
      <c r="F26" s="456"/>
      <c r="G26" s="233">
        <v>2</v>
      </c>
      <c r="H26" s="233">
        <v>4</v>
      </c>
      <c r="I26" s="233">
        <v>6</v>
      </c>
      <c r="J26" s="233">
        <v>10</v>
      </c>
      <c r="K26" s="233">
        <v>7</v>
      </c>
      <c r="L26" s="233">
        <v>5</v>
      </c>
      <c r="M26" s="233">
        <v>2</v>
      </c>
      <c r="N26" s="234"/>
      <c r="O26" s="234"/>
      <c r="P26" s="234"/>
      <c r="Q26" s="235">
        <f>SUM(G26:P26)</f>
        <v>36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6">SUM(H24:H25)-H26</f>
        <v>68</v>
      </c>
      <c r="I27" s="214">
        <f t="shared" si="6"/>
        <v>178</v>
      </c>
      <c r="J27" s="214">
        <f t="shared" si="6"/>
        <v>227</v>
      </c>
      <c r="K27" s="214">
        <f t="shared" si="6"/>
        <v>182</v>
      </c>
      <c r="L27" s="214">
        <f t="shared" si="6"/>
        <v>84</v>
      </c>
      <c r="M27" s="214">
        <f t="shared" si="6"/>
        <v>24</v>
      </c>
      <c r="N27" s="334"/>
      <c r="O27" s="334"/>
      <c r="P27" s="334"/>
      <c r="Q27" s="214">
        <f t="shared" ref="Q27" si="7">SUM(Q24:Q25)-Q26</f>
        <v>782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0" t="s">
        <v>935</v>
      </c>
      <c r="O29" s="450"/>
      <c r="P29" s="450"/>
      <c r="Q29" s="333" t="s">
        <v>40</v>
      </c>
    </row>
    <row r="30" spans="2:17" s="204" customFormat="1" ht="65">
      <c r="B30" s="330" t="s">
        <v>41</v>
      </c>
      <c r="C30" s="331" t="s">
        <v>507</v>
      </c>
      <c r="D30" s="205" t="s">
        <v>942</v>
      </c>
      <c r="E30" s="206"/>
      <c r="F30" s="207"/>
      <c r="G30" s="529" t="s">
        <v>963</v>
      </c>
      <c r="H30" s="529"/>
      <c r="I30" s="529"/>
      <c r="J30" s="529"/>
      <c r="K30" s="529"/>
      <c r="L30" s="529"/>
      <c r="M30" s="530"/>
      <c r="N30" s="455" t="s">
        <v>938</v>
      </c>
      <c r="O30" s="455"/>
      <c r="P30" s="455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/>
      <c r="H31" s="209">
        <f t="shared" ref="H31:M31" si="8">ROUNDUP(H30*2%,0)</f>
        <v>0</v>
      </c>
      <c r="I31" s="209">
        <f t="shared" si="8"/>
        <v>0</v>
      </c>
      <c r="J31" s="209">
        <f t="shared" si="8"/>
        <v>0</v>
      </c>
      <c r="K31" s="209">
        <f t="shared" si="8"/>
        <v>0</v>
      </c>
      <c r="L31" s="209">
        <f t="shared" si="8"/>
        <v>0</v>
      </c>
      <c r="M31" s="209">
        <f t="shared" si="8"/>
        <v>0</v>
      </c>
      <c r="N31" s="455"/>
      <c r="O31" s="455"/>
      <c r="P31" s="455"/>
      <c r="Q31" s="208">
        <f>SUM(E31:P31)</f>
        <v>0</v>
      </c>
    </row>
    <row r="32" spans="2:17" s="215" customFormat="1" ht="149.25" hidden="1" customHeight="1">
      <c r="B32" s="456" t="s">
        <v>961</v>
      </c>
      <c r="C32" s="456"/>
      <c r="D32" s="456"/>
      <c r="E32" s="456"/>
      <c r="F32" s="456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9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9">SUM(H30:H31)-H32</f>
        <v>0</v>
      </c>
      <c r="I33" s="214">
        <f t="shared" si="9"/>
        <v>0</v>
      </c>
      <c r="J33" s="214">
        <f t="shared" si="9"/>
        <v>0</v>
      </c>
      <c r="K33" s="214">
        <f t="shared" si="9"/>
        <v>0</v>
      </c>
      <c r="L33" s="214">
        <f t="shared" si="9"/>
        <v>0</v>
      </c>
      <c r="M33" s="214">
        <f t="shared" si="9"/>
        <v>0</v>
      </c>
      <c r="N33" s="334"/>
      <c r="O33" s="334"/>
      <c r="P33" s="334"/>
      <c r="Q33" s="214">
        <f t="shared" ref="Q33" si="10">SUM(Q30:Q31)-Q32</f>
        <v>0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39</v>
      </c>
      <c r="H35" s="228">
        <f t="shared" ref="H35:M35" si="11">H21++H33+H27</f>
        <v>136</v>
      </c>
      <c r="I35" s="228">
        <f t="shared" si="11"/>
        <v>356</v>
      </c>
      <c r="J35" s="228">
        <f t="shared" si="11"/>
        <v>454</v>
      </c>
      <c r="K35" s="228">
        <f t="shared" si="11"/>
        <v>364</v>
      </c>
      <c r="L35" s="228">
        <f t="shared" si="11"/>
        <v>168</v>
      </c>
      <c r="M35" s="228">
        <f t="shared" si="11"/>
        <v>48</v>
      </c>
      <c r="N35" s="228"/>
      <c r="O35" s="228"/>
      <c r="P35" s="228"/>
      <c r="Q35" s="228">
        <f>Q21++Q33+Q27</f>
        <v>1565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7" t="s">
        <v>962</v>
      </c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</row>
    <row r="38" spans="1:19" s="99" customFormat="1" ht="72.75" hidden="1" customHeight="1">
      <c r="B38" s="457" t="s">
        <v>743</v>
      </c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</row>
    <row r="39" spans="1:19" s="99" customFormat="1" ht="72.75" hidden="1" customHeight="1">
      <c r="B39" s="458" t="s">
        <v>769</v>
      </c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9" t="s">
        <v>52</v>
      </c>
      <c r="B41" s="459"/>
      <c r="C41" s="45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0" t="s">
        <v>63</v>
      </c>
      <c r="O41" s="460"/>
      <c r="P41" s="460"/>
      <c r="Q41" s="460"/>
    </row>
    <row r="42" spans="1:19" s="34" customFormat="1" ht="45.75" customHeight="1">
      <c r="A42" s="464" t="str">
        <f>UPPER(D21)</f>
        <v>DOVE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</row>
    <row r="43" spans="1:19" s="128" customFormat="1" ht="171" customHeight="1">
      <c r="A43" s="129">
        <v>1</v>
      </c>
      <c r="B43" s="465" t="str">
        <f>$M$11</f>
        <v>100%COTTON SEMI BRUSHED (20/1+20/1+10/2) washing_ 14GG _460GSM</v>
      </c>
      <c r="C43" s="465"/>
      <c r="D43" s="195" t="s">
        <v>64</v>
      </c>
      <c r="E43" s="195" t="str">
        <f>$N$18</f>
        <v>ASH - BC01</v>
      </c>
      <c r="F43" s="129" t="s">
        <v>36</v>
      </c>
      <c r="G43" s="196">
        <f>$Q$21</f>
        <v>783</v>
      </c>
      <c r="H43" s="357">
        <v>1.69</v>
      </c>
      <c r="I43" s="179">
        <f>H43*G43</f>
        <v>1323.27</v>
      </c>
      <c r="J43" s="188">
        <f>I43*2.3%+(I43/40)*0.5+1</f>
        <v>47.976084999999998</v>
      </c>
      <c r="K43" s="188">
        <v>0</v>
      </c>
      <c r="L43" s="188">
        <v>0</v>
      </c>
      <c r="M43" s="338">
        <f>ROUND(I43+J43,0)</f>
        <v>1371</v>
      </c>
      <c r="N43" s="463" t="s">
        <v>964</v>
      </c>
      <c r="O43" s="463"/>
      <c r="P43" s="463"/>
      <c r="Q43" s="463"/>
      <c r="S43" s="356">
        <f>585+786</f>
        <v>1371</v>
      </c>
    </row>
    <row r="44" spans="1:19" s="128" customFormat="1" ht="216" customHeight="1">
      <c r="A44" s="129">
        <v>2</v>
      </c>
      <c r="B44" s="465" t="s">
        <v>771</v>
      </c>
      <c r="C44" s="465"/>
      <c r="D44" s="195" t="s">
        <v>780</v>
      </c>
      <c r="E44" s="195" t="str">
        <f t="shared" ref="E44:E45" si="12">$N$18</f>
        <v>ASH - BC01</v>
      </c>
      <c r="F44" s="129" t="s">
        <v>36</v>
      </c>
      <c r="G44" s="196">
        <f>$Q$21</f>
        <v>783</v>
      </c>
      <c r="H44" s="357">
        <v>0.23</v>
      </c>
      <c r="I44" s="179">
        <f>H44*G44</f>
        <v>180.09</v>
      </c>
      <c r="J44" s="188">
        <f>I44*2.3%+(I44/50)*0.5+1</f>
        <v>6.9429700000000008</v>
      </c>
      <c r="K44" s="188">
        <v>0</v>
      </c>
      <c r="L44" s="188">
        <v>0</v>
      </c>
      <c r="M44" s="338">
        <f>ROUND(I44+J44,0)</f>
        <v>187</v>
      </c>
      <c r="N44" s="463" t="s">
        <v>965</v>
      </c>
      <c r="O44" s="463"/>
      <c r="P44" s="463"/>
      <c r="Q44" s="463"/>
      <c r="S44" s="356">
        <f>7+90+90</f>
        <v>187</v>
      </c>
    </row>
    <row r="45" spans="1:19" s="128" customFormat="1" ht="82.5" customHeight="1">
      <c r="A45" s="355">
        <v>3</v>
      </c>
      <c r="B45" s="462" t="s">
        <v>928</v>
      </c>
      <c r="C45" s="462"/>
      <c r="D45" s="423" t="s">
        <v>929</v>
      </c>
      <c r="E45" s="195" t="str">
        <f t="shared" si="12"/>
        <v>ASH - BC01</v>
      </c>
      <c r="F45" s="355" t="s">
        <v>36</v>
      </c>
      <c r="G45" s="424">
        <f>$Q$21</f>
        <v>783</v>
      </c>
      <c r="H45" s="425">
        <v>0.01</v>
      </c>
      <c r="I45" s="426">
        <f>H45*G45</f>
        <v>7.83</v>
      </c>
      <c r="J45" s="427">
        <f>I45*2.3%+(I45/50)*0.5+1</f>
        <v>1.2583899999999999</v>
      </c>
      <c r="K45" s="427">
        <v>0</v>
      </c>
      <c r="L45" s="427">
        <v>0</v>
      </c>
      <c r="M45" s="428">
        <f>ROUND(I45+J45,0)</f>
        <v>9</v>
      </c>
      <c r="N45" s="463" t="s">
        <v>966</v>
      </c>
      <c r="O45" s="463"/>
      <c r="P45" s="463"/>
      <c r="Q45" s="463"/>
      <c r="S45" s="356"/>
    </row>
    <row r="46" spans="1:19" s="128" customFormat="1" ht="64.5" customHeight="1">
      <c r="A46" s="355">
        <v>4</v>
      </c>
      <c r="B46" s="462" t="s">
        <v>930</v>
      </c>
      <c r="C46" s="462"/>
      <c r="D46" s="423" t="s">
        <v>931</v>
      </c>
      <c r="E46" s="423" t="s">
        <v>109</v>
      </c>
      <c r="F46" s="355" t="s">
        <v>36</v>
      </c>
      <c r="G46" s="424">
        <f>$Q$21</f>
        <v>783</v>
      </c>
      <c r="H46" s="425">
        <v>0.03</v>
      </c>
      <c r="I46" s="426">
        <f>H46*G46</f>
        <v>23.49</v>
      </c>
      <c r="J46" s="427">
        <f>I46*2.3%+(I46/50)*0.5+1</f>
        <v>1.7751699999999999</v>
      </c>
      <c r="K46" s="427">
        <v>0</v>
      </c>
      <c r="L46" s="427">
        <v>0</v>
      </c>
      <c r="M46" s="428">
        <f>ROUND(I46+J46,0)</f>
        <v>25</v>
      </c>
      <c r="N46" s="463" t="s">
        <v>932</v>
      </c>
      <c r="O46" s="463"/>
      <c r="P46" s="463"/>
      <c r="Q46" s="463"/>
      <c r="S46" s="356"/>
    </row>
    <row r="47" spans="1:19" s="4" customFormat="1" ht="59.15" customHeight="1">
      <c r="B47" s="87" t="s">
        <v>51</v>
      </c>
      <c r="C47" s="24"/>
      <c r="D47" s="343" t="s">
        <v>734</v>
      </c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</row>
    <row r="48" spans="1:19" s="25" customFormat="1" ht="120">
      <c r="A48" s="459" t="s">
        <v>52</v>
      </c>
      <c r="B48" s="459"/>
      <c r="C48" s="459"/>
      <c r="D48" s="191" t="s">
        <v>53</v>
      </c>
      <c r="E48" s="191" t="s">
        <v>54</v>
      </c>
      <c r="F48" s="191" t="s">
        <v>55</v>
      </c>
      <c r="G48" s="190" t="s">
        <v>56</v>
      </c>
      <c r="H48" s="190" t="s">
        <v>57</v>
      </c>
      <c r="I48" s="190" t="s">
        <v>58</v>
      </c>
      <c r="J48" s="190" t="s">
        <v>59</v>
      </c>
      <c r="K48" s="190" t="s">
        <v>60</v>
      </c>
      <c r="L48" s="190" t="s">
        <v>61</v>
      </c>
      <c r="M48" s="190" t="s">
        <v>62</v>
      </c>
      <c r="N48" s="460" t="s">
        <v>63</v>
      </c>
      <c r="O48" s="460"/>
      <c r="P48" s="460"/>
      <c r="Q48" s="460"/>
    </row>
    <row r="49" spans="1:19" s="34" customFormat="1" ht="51.75" customHeight="1">
      <c r="A49" s="464" t="str">
        <f>UPPER(D27)</f>
        <v>HEATHER GREY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</row>
    <row r="50" spans="1:19" s="128" customFormat="1" ht="207" customHeight="1">
      <c r="A50" s="129">
        <v>1</v>
      </c>
      <c r="B50" s="465" t="str">
        <f>$M$11</f>
        <v>100%COTTON SEMI BRUSHED (20/1+20/1+10/2) washing_ 14GG _460GSM</v>
      </c>
      <c r="C50" s="465"/>
      <c r="D50" s="195" t="s">
        <v>64</v>
      </c>
      <c r="E50" s="195" t="str">
        <f>$N$24</f>
        <v>HEATHER GREY - BC06</v>
      </c>
      <c r="F50" s="129" t="s">
        <v>36</v>
      </c>
      <c r="G50" s="196">
        <f>$Q$27</f>
        <v>782</v>
      </c>
      <c r="H50" s="357">
        <v>1.69</v>
      </c>
      <c r="I50" s="179">
        <f>H50*G50</f>
        <v>1321.58</v>
      </c>
      <c r="J50" s="188">
        <f>I50*2.9%+(I50/40)*0.5+1</f>
        <v>55.845569999999995</v>
      </c>
      <c r="K50" s="188">
        <v>0</v>
      </c>
      <c r="L50" s="188">
        <v>0</v>
      </c>
      <c r="M50" s="338">
        <f>ROUND(I50+J50,0)</f>
        <v>1377</v>
      </c>
      <c r="N50" s="463" t="s">
        <v>967</v>
      </c>
      <c r="O50" s="463"/>
      <c r="P50" s="463"/>
      <c r="Q50" s="463"/>
      <c r="S50" s="356">
        <f>648+31+698</f>
        <v>1377</v>
      </c>
    </row>
    <row r="51" spans="1:19" s="128" customFormat="1" ht="229.5" customHeight="1">
      <c r="A51" s="129">
        <v>1</v>
      </c>
      <c r="B51" s="465" t="s">
        <v>771</v>
      </c>
      <c r="C51" s="465"/>
      <c r="D51" s="195" t="s">
        <v>780</v>
      </c>
      <c r="E51" s="195" t="str">
        <f t="shared" ref="E51:E52" si="13">$N$24</f>
        <v>HEATHER GREY - BC06</v>
      </c>
      <c r="F51" s="129" t="s">
        <v>36</v>
      </c>
      <c r="G51" s="196">
        <f>$Q$27</f>
        <v>782</v>
      </c>
      <c r="H51" s="357">
        <v>0.23</v>
      </c>
      <c r="I51" s="179">
        <f>H51*G51</f>
        <v>179.86</v>
      </c>
      <c r="J51" s="188">
        <f>I51*1.5%+(I51/50)*0.5+2</f>
        <v>6.4965000000000002</v>
      </c>
      <c r="K51" s="188">
        <v>0</v>
      </c>
      <c r="L51" s="188">
        <v>0</v>
      </c>
      <c r="M51" s="338">
        <f>ROUND(I51+J51,0)</f>
        <v>186</v>
      </c>
      <c r="N51" s="463" t="s">
        <v>968</v>
      </c>
      <c r="O51" s="463"/>
      <c r="P51" s="463"/>
      <c r="Q51" s="463"/>
      <c r="S51" s="356">
        <f>70+89+26</f>
        <v>185</v>
      </c>
    </row>
    <row r="52" spans="1:19" s="128" customFormat="1" ht="105" customHeight="1">
      <c r="A52" s="355">
        <v>3</v>
      </c>
      <c r="B52" s="462" t="s">
        <v>928</v>
      </c>
      <c r="C52" s="462"/>
      <c r="D52" s="423" t="s">
        <v>929</v>
      </c>
      <c r="E52" s="195" t="str">
        <f t="shared" si="13"/>
        <v>HEATHER GREY - BC06</v>
      </c>
      <c r="F52" s="355" t="s">
        <v>36</v>
      </c>
      <c r="G52" s="196">
        <f>$Q$27</f>
        <v>782</v>
      </c>
      <c r="H52" s="425">
        <v>0.01</v>
      </c>
      <c r="I52" s="426">
        <f>H52*G52</f>
        <v>7.82</v>
      </c>
      <c r="J52" s="427">
        <f>I52*2.3%+(I52/50)*0.5+1</f>
        <v>1.25806</v>
      </c>
      <c r="K52" s="427">
        <v>0</v>
      </c>
      <c r="L52" s="427">
        <v>0</v>
      </c>
      <c r="M52" s="428">
        <f>ROUND(I52+J52,0)</f>
        <v>9</v>
      </c>
      <c r="N52" s="463" t="s">
        <v>969</v>
      </c>
      <c r="O52" s="463"/>
      <c r="P52" s="463"/>
      <c r="Q52" s="463"/>
      <c r="S52" s="356"/>
    </row>
    <row r="53" spans="1:19" s="128" customFormat="1" ht="60" customHeight="1">
      <c r="A53" s="355">
        <v>4</v>
      </c>
      <c r="B53" s="462" t="s">
        <v>930</v>
      </c>
      <c r="C53" s="462"/>
      <c r="D53" s="423" t="s">
        <v>931</v>
      </c>
      <c r="E53" s="423" t="s">
        <v>109</v>
      </c>
      <c r="F53" s="355" t="s">
        <v>36</v>
      </c>
      <c r="G53" s="196">
        <f>$Q$27</f>
        <v>782</v>
      </c>
      <c r="H53" s="425">
        <v>0.03</v>
      </c>
      <c r="I53" s="426">
        <f>H53*G53</f>
        <v>23.46</v>
      </c>
      <c r="J53" s="427">
        <f>I53*2.3%+(I53/50)*0.5+1</f>
        <v>1.7741800000000001</v>
      </c>
      <c r="K53" s="427">
        <v>0</v>
      </c>
      <c r="L53" s="427">
        <v>0</v>
      </c>
      <c r="M53" s="428">
        <f>ROUND(I53+J53,0)</f>
        <v>25</v>
      </c>
      <c r="N53" s="463" t="s">
        <v>932</v>
      </c>
      <c r="O53" s="463"/>
      <c r="P53" s="463"/>
      <c r="Q53" s="463"/>
      <c r="S53" s="356"/>
    </row>
    <row r="54" spans="1:19" s="26" customFormat="1" ht="37" customHeight="1" thickBot="1">
      <c r="B54" s="87" t="s">
        <v>69</v>
      </c>
      <c r="C54" s="27"/>
      <c r="D54" s="27"/>
      <c r="E54" s="27"/>
      <c r="G54" s="28"/>
      <c r="Q54" s="29"/>
    </row>
    <row r="55" spans="1:19" s="40" customFormat="1" ht="55.5" customHeight="1">
      <c r="A55" s="466" t="s">
        <v>70</v>
      </c>
      <c r="B55" s="467"/>
      <c r="C55" s="467"/>
      <c r="D55" s="467"/>
      <c r="E55" s="468"/>
      <c r="F55" s="84" t="s">
        <v>71</v>
      </c>
      <c r="G55" s="84" t="s">
        <v>72</v>
      </c>
      <c r="H55" s="469" t="s">
        <v>73</v>
      </c>
      <c r="I55" s="470"/>
      <c r="J55" s="85" t="s">
        <v>55</v>
      </c>
      <c r="K55" s="84" t="s">
        <v>74</v>
      </c>
      <c r="L55" s="84" t="s">
        <v>75</v>
      </c>
      <c r="M55" s="86" t="s">
        <v>76</v>
      </c>
      <c r="N55" s="86" t="s">
        <v>77</v>
      </c>
      <c r="O55" s="86" t="s">
        <v>78</v>
      </c>
      <c r="P55" s="469" t="s">
        <v>79</v>
      </c>
      <c r="Q55" s="470"/>
    </row>
    <row r="56" spans="1:19" s="15" customFormat="1" ht="102.75" customHeight="1">
      <c r="A56" s="192">
        <v>1</v>
      </c>
      <c r="B56" s="471" t="s">
        <v>80</v>
      </c>
      <c r="C56" s="471"/>
      <c r="D56" s="471"/>
      <c r="E56" s="471"/>
      <c r="F56" s="183" t="str">
        <f>E43</f>
        <v>ASH - BC01</v>
      </c>
      <c r="G56" s="434" t="s">
        <v>951</v>
      </c>
      <c r="H56" s="472" t="str">
        <f>$D$21</f>
        <v>DOVE</v>
      </c>
      <c r="I56" s="473" t="str">
        <f t="shared" ref="I56:I64" si="14">$E$43</f>
        <v>ASH - BC01</v>
      </c>
      <c r="J56" s="187" t="s">
        <v>81</v>
      </c>
      <c r="K56" s="187">
        <f>$Q$21</f>
        <v>783</v>
      </c>
      <c r="L56" s="352">
        <f>320/4500</f>
        <v>7.1111111111111111E-2</v>
      </c>
      <c r="M56" s="193">
        <f t="shared" ref="M56:M57" si="15">K56*L56</f>
        <v>55.68</v>
      </c>
      <c r="N56" s="193"/>
      <c r="O56" s="189">
        <f t="shared" ref="O56:O65" si="16">ROUNDUP(N56+M56,0)</f>
        <v>56</v>
      </c>
      <c r="P56" s="474" t="s">
        <v>954</v>
      </c>
      <c r="Q56" s="475"/>
    </row>
    <row r="57" spans="1:19" s="15" customFormat="1" ht="102.75" customHeight="1">
      <c r="A57" s="192">
        <v>2</v>
      </c>
      <c r="B57" s="471" t="s">
        <v>80</v>
      </c>
      <c r="C57" s="471"/>
      <c r="D57" s="471"/>
      <c r="E57" s="471"/>
      <c r="F57" s="183" t="str">
        <f>E50</f>
        <v>HEATHER GREY - BC06</v>
      </c>
      <c r="G57" s="434" t="s">
        <v>952</v>
      </c>
      <c r="H57" s="472" t="str">
        <f t="shared" ref="H57" si="17">$D$27</f>
        <v>HEATHER GREY</v>
      </c>
      <c r="I57" s="473"/>
      <c r="J57" s="187" t="s">
        <v>81</v>
      </c>
      <c r="K57" s="187">
        <f>$Q$27</f>
        <v>782</v>
      </c>
      <c r="L57" s="352">
        <f>320/4500</f>
        <v>7.1111111111111111E-2</v>
      </c>
      <c r="M57" s="193">
        <f t="shared" si="15"/>
        <v>55.608888888888892</v>
      </c>
      <c r="N57" s="193"/>
      <c r="O57" s="189">
        <f t="shared" si="16"/>
        <v>56</v>
      </c>
      <c r="P57" s="476"/>
      <c r="Q57" s="477"/>
    </row>
    <row r="58" spans="1:19" s="15" customFormat="1" ht="102.75" customHeight="1">
      <c r="A58" s="192">
        <v>3</v>
      </c>
      <c r="B58" s="478" t="s">
        <v>773</v>
      </c>
      <c r="C58" s="479"/>
      <c r="D58" s="479"/>
      <c r="E58" s="479"/>
      <c r="F58" s="481" t="s">
        <v>91</v>
      </c>
      <c r="G58" s="483" t="s">
        <v>774</v>
      </c>
      <c r="H58" s="472" t="str">
        <f>$D$21</f>
        <v>DOVE</v>
      </c>
      <c r="I58" s="473" t="str">
        <f t="shared" si="14"/>
        <v>ASH - BC01</v>
      </c>
      <c r="J58" s="187" t="s">
        <v>87</v>
      </c>
      <c r="K58" s="187">
        <f>$Q$21</f>
        <v>783</v>
      </c>
      <c r="L58" s="187">
        <v>1</v>
      </c>
      <c r="M58" s="187">
        <f t="shared" ref="M58:M65" si="18">L58*K58</f>
        <v>783</v>
      </c>
      <c r="N58" s="193"/>
      <c r="O58" s="189">
        <f t="shared" si="16"/>
        <v>783</v>
      </c>
      <c r="P58" s="474" t="s">
        <v>744</v>
      </c>
      <c r="Q58" s="475"/>
    </row>
    <row r="59" spans="1:19" s="15" customFormat="1" ht="102.75" customHeight="1">
      <c r="A59" s="192">
        <v>4</v>
      </c>
      <c r="B59" s="478" t="s">
        <v>773</v>
      </c>
      <c r="C59" s="479"/>
      <c r="D59" s="479"/>
      <c r="E59" s="479"/>
      <c r="F59" s="482"/>
      <c r="G59" s="484"/>
      <c r="H59" s="472" t="str">
        <f t="shared" ref="H59" si="19">$D$27</f>
        <v>HEATHER GREY</v>
      </c>
      <c r="I59" s="473"/>
      <c r="J59" s="187" t="s">
        <v>87</v>
      </c>
      <c r="K59" s="187">
        <f>$Q$27</f>
        <v>782</v>
      </c>
      <c r="L59" s="187">
        <v>1</v>
      </c>
      <c r="M59" s="187">
        <f t="shared" si="18"/>
        <v>782</v>
      </c>
      <c r="N59" s="193"/>
      <c r="O59" s="189">
        <f t="shared" si="16"/>
        <v>782</v>
      </c>
      <c r="P59" s="476"/>
      <c r="Q59" s="477"/>
    </row>
    <row r="60" spans="1:19" s="15" customFormat="1" ht="102.75" customHeight="1">
      <c r="A60" s="192">
        <v>5</v>
      </c>
      <c r="B60" s="478" t="s">
        <v>775</v>
      </c>
      <c r="C60" s="479"/>
      <c r="D60" s="479"/>
      <c r="E60" s="479"/>
      <c r="F60" s="481" t="s">
        <v>91</v>
      </c>
      <c r="G60" s="483" t="s">
        <v>776</v>
      </c>
      <c r="H60" s="472" t="str">
        <f>$D$21</f>
        <v>DOVE</v>
      </c>
      <c r="I60" s="473" t="str">
        <f t="shared" si="14"/>
        <v>ASH - BC01</v>
      </c>
      <c r="J60" s="187" t="s">
        <v>87</v>
      </c>
      <c r="K60" s="187">
        <f>$Q$21</f>
        <v>783</v>
      </c>
      <c r="L60" s="187">
        <v>1</v>
      </c>
      <c r="M60" s="187">
        <f t="shared" si="18"/>
        <v>783</v>
      </c>
      <c r="N60" s="193"/>
      <c r="O60" s="189">
        <f t="shared" si="16"/>
        <v>783</v>
      </c>
      <c r="P60" s="474" t="s">
        <v>744</v>
      </c>
      <c r="Q60" s="475"/>
    </row>
    <row r="61" spans="1:19" s="15" customFormat="1" ht="102.75" customHeight="1">
      <c r="A61" s="192">
        <v>6</v>
      </c>
      <c r="B61" s="478" t="s">
        <v>775</v>
      </c>
      <c r="C61" s="479"/>
      <c r="D61" s="479"/>
      <c r="E61" s="479"/>
      <c r="F61" s="482"/>
      <c r="G61" s="484"/>
      <c r="H61" s="472" t="str">
        <f t="shared" ref="H61" si="20">$D$27</f>
        <v>HEATHER GREY</v>
      </c>
      <c r="I61" s="473"/>
      <c r="J61" s="187" t="s">
        <v>87</v>
      </c>
      <c r="K61" s="187">
        <f>$Q$27</f>
        <v>782</v>
      </c>
      <c r="L61" s="187">
        <v>1</v>
      </c>
      <c r="M61" s="187">
        <f t="shared" si="18"/>
        <v>782</v>
      </c>
      <c r="N61" s="193"/>
      <c r="O61" s="189">
        <f t="shared" si="16"/>
        <v>782</v>
      </c>
      <c r="P61" s="476"/>
      <c r="Q61" s="477"/>
    </row>
    <row r="62" spans="1:19" s="15" customFormat="1" ht="102.75" customHeight="1">
      <c r="A62" s="192">
        <v>7</v>
      </c>
      <c r="B62" s="480" t="s">
        <v>753</v>
      </c>
      <c r="C62" s="471"/>
      <c r="D62" s="471"/>
      <c r="E62" s="471"/>
      <c r="F62" s="481" t="s">
        <v>91</v>
      </c>
      <c r="G62" s="483" t="s">
        <v>754</v>
      </c>
      <c r="H62" s="472" t="str">
        <f>$D$21</f>
        <v>DOVE</v>
      </c>
      <c r="I62" s="473" t="str">
        <f t="shared" si="14"/>
        <v>ASH - BC01</v>
      </c>
      <c r="J62" s="187" t="s">
        <v>87</v>
      </c>
      <c r="K62" s="187">
        <f>$Q$21</f>
        <v>783</v>
      </c>
      <c r="L62" s="187">
        <v>1</v>
      </c>
      <c r="M62" s="187">
        <f t="shared" si="18"/>
        <v>783</v>
      </c>
      <c r="N62" s="193"/>
      <c r="O62" s="189">
        <f t="shared" si="16"/>
        <v>783</v>
      </c>
      <c r="P62" s="474" t="s">
        <v>744</v>
      </c>
      <c r="Q62" s="475"/>
    </row>
    <row r="63" spans="1:19" s="15" customFormat="1" ht="102.75" customHeight="1">
      <c r="A63" s="192">
        <v>8</v>
      </c>
      <c r="B63" s="480" t="s">
        <v>753</v>
      </c>
      <c r="C63" s="471"/>
      <c r="D63" s="471"/>
      <c r="E63" s="471"/>
      <c r="F63" s="482"/>
      <c r="G63" s="484"/>
      <c r="H63" s="472" t="str">
        <f t="shared" ref="H63" si="21">$D$27</f>
        <v>HEATHER GREY</v>
      </c>
      <c r="I63" s="473"/>
      <c r="J63" s="187" t="s">
        <v>87</v>
      </c>
      <c r="K63" s="187">
        <f>$Q$27</f>
        <v>782</v>
      </c>
      <c r="L63" s="187">
        <v>1</v>
      </c>
      <c r="M63" s="187">
        <f t="shared" si="18"/>
        <v>782</v>
      </c>
      <c r="N63" s="193"/>
      <c r="O63" s="189">
        <f t="shared" si="16"/>
        <v>782</v>
      </c>
      <c r="P63" s="476"/>
      <c r="Q63" s="477"/>
    </row>
    <row r="64" spans="1:19" s="15" customFormat="1" ht="102.75" customHeight="1">
      <c r="A64" s="192">
        <v>9</v>
      </c>
      <c r="B64" s="480" t="s">
        <v>750</v>
      </c>
      <c r="C64" s="471"/>
      <c r="D64" s="471"/>
      <c r="E64" s="485"/>
      <c r="F64" s="487" t="s">
        <v>91</v>
      </c>
      <c r="G64" s="488"/>
      <c r="H64" s="486" t="str">
        <f>$D$21</f>
        <v>DOVE</v>
      </c>
      <c r="I64" s="473" t="str">
        <f t="shared" si="14"/>
        <v>ASH - BC01</v>
      </c>
      <c r="J64" s="187" t="s">
        <v>87</v>
      </c>
      <c r="K64" s="187">
        <f>$Q$21</f>
        <v>783</v>
      </c>
      <c r="L64" s="187">
        <v>1</v>
      </c>
      <c r="M64" s="187">
        <f t="shared" si="18"/>
        <v>783</v>
      </c>
      <c r="N64" s="193"/>
      <c r="O64" s="189">
        <f t="shared" si="16"/>
        <v>783</v>
      </c>
      <c r="P64" s="474" t="s">
        <v>745</v>
      </c>
      <c r="Q64" s="475"/>
    </row>
    <row r="65" spans="1:17" s="15" customFormat="1" ht="102.75" customHeight="1">
      <c r="A65" s="192">
        <v>10</v>
      </c>
      <c r="B65" s="480" t="s">
        <v>750</v>
      </c>
      <c r="C65" s="471"/>
      <c r="D65" s="471"/>
      <c r="E65" s="485"/>
      <c r="F65" s="487"/>
      <c r="G65" s="488"/>
      <c r="H65" s="486" t="str">
        <f t="shared" ref="H65" si="22">$D$27</f>
        <v>HEATHER GREY</v>
      </c>
      <c r="I65" s="473"/>
      <c r="J65" s="187" t="s">
        <v>87</v>
      </c>
      <c r="K65" s="187">
        <f>$Q$27</f>
        <v>782</v>
      </c>
      <c r="L65" s="187">
        <v>1</v>
      </c>
      <c r="M65" s="187">
        <f t="shared" si="18"/>
        <v>782</v>
      </c>
      <c r="N65" s="193"/>
      <c r="O65" s="189">
        <f t="shared" si="16"/>
        <v>782</v>
      </c>
      <c r="P65" s="476"/>
      <c r="Q65" s="477"/>
    </row>
    <row r="66" spans="1:17" s="26" customFormat="1" ht="39" customHeight="1">
      <c r="B66" s="91" t="s">
        <v>95</v>
      </c>
      <c r="C66" s="27"/>
      <c r="D66" s="27"/>
      <c r="E66" s="27"/>
      <c r="G66" s="28"/>
      <c r="H66" s="30"/>
      <c r="I66" s="30"/>
      <c r="J66" s="30"/>
      <c r="K66" s="30"/>
      <c r="L66" s="30"/>
      <c r="M66" s="30"/>
      <c r="N66" s="30"/>
      <c r="O66" s="30"/>
      <c r="Q66" s="29"/>
    </row>
    <row r="67" spans="1:17" s="40" customFormat="1" ht="60">
      <c r="A67" s="459" t="s">
        <v>70</v>
      </c>
      <c r="B67" s="459"/>
      <c r="C67" s="459"/>
      <c r="D67" s="459"/>
      <c r="E67" s="459"/>
      <c r="F67" s="190" t="s">
        <v>71</v>
      </c>
      <c r="G67" s="190" t="s">
        <v>72</v>
      </c>
      <c r="H67" s="460" t="s">
        <v>73</v>
      </c>
      <c r="I67" s="460"/>
      <c r="J67" s="191" t="s">
        <v>55</v>
      </c>
      <c r="K67" s="190" t="s">
        <v>74</v>
      </c>
      <c r="L67" s="190" t="s">
        <v>75</v>
      </c>
      <c r="M67" s="190" t="s">
        <v>76</v>
      </c>
      <c r="N67" s="190" t="s">
        <v>77</v>
      </c>
      <c r="O67" s="190" t="s">
        <v>78</v>
      </c>
      <c r="P67" s="460" t="s">
        <v>79</v>
      </c>
      <c r="Q67" s="460"/>
    </row>
    <row r="68" spans="1:17" s="34" customFormat="1" ht="65.25" customHeight="1">
      <c r="A68" s="192">
        <v>1</v>
      </c>
      <c r="B68" s="480" t="s">
        <v>746</v>
      </c>
      <c r="C68" s="480"/>
      <c r="D68" s="480"/>
      <c r="E68" s="480"/>
      <c r="F68" s="493" t="s">
        <v>91</v>
      </c>
      <c r="G68" s="494"/>
      <c r="H68" s="492" t="str">
        <f>$D$21</f>
        <v>DOVE</v>
      </c>
      <c r="I68" s="492" t="str">
        <f>$E$43</f>
        <v>ASH - BC01</v>
      </c>
      <c r="J68" s="187" t="s">
        <v>87</v>
      </c>
      <c r="K68" s="187">
        <f>$Q$21</f>
        <v>783</v>
      </c>
      <c r="L68" s="353">
        <f>1+L78</f>
        <v>1.1666666666666667</v>
      </c>
      <c r="M68" s="187">
        <f t="shared" ref="M68:M81" si="23">K68*L68</f>
        <v>913.50000000000011</v>
      </c>
      <c r="N68" s="193"/>
      <c r="O68" s="189">
        <f t="shared" ref="O68:O81" si="24">ROUNDUP(N68+M68,0)</f>
        <v>914</v>
      </c>
      <c r="P68" s="474" t="s">
        <v>751</v>
      </c>
      <c r="Q68" s="475"/>
    </row>
    <row r="69" spans="1:17" s="34" customFormat="1" ht="65.25" customHeight="1">
      <c r="A69" s="192">
        <v>2</v>
      </c>
      <c r="B69" s="480" t="s">
        <v>746</v>
      </c>
      <c r="C69" s="480"/>
      <c r="D69" s="480"/>
      <c r="E69" s="480"/>
      <c r="F69" s="493"/>
      <c r="G69" s="494"/>
      <c r="H69" s="492" t="str">
        <f t="shared" ref="H69" si="25">$D$27</f>
        <v>HEATHER GREY</v>
      </c>
      <c r="I69" s="492"/>
      <c r="J69" s="187" t="s">
        <v>87</v>
      </c>
      <c r="K69" s="187">
        <f>$Q$27</f>
        <v>782</v>
      </c>
      <c r="L69" s="353">
        <f>1+L79</f>
        <v>1.1666666666666667</v>
      </c>
      <c r="M69" s="187">
        <f t="shared" si="23"/>
        <v>912.33333333333337</v>
      </c>
      <c r="N69" s="193"/>
      <c r="O69" s="189">
        <f t="shared" si="24"/>
        <v>913</v>
      </c>
      <c r="P69" s="476"/>
      <c r="Q69" s="477"/>
    </row>
    <row r="70" spans="1:17" s="34" customFormat="1" ht="65.25" customHeight="1">
      <c r="A70" s="192">
        <v>3</v>
      </c>
      <c r="B70" s="489" t="s">
        <v>748</v>
      </c>
      <c r="C70" s="489"/>
      <c r="D70" s="489"/>
      <c r="E70" s="489"/>
      <c r="F70" s="183" t="s">
        <v>103</v>
      </c>
      <c r="G70" s="490" t="s">
        <v>749</v>
      </c>
      <c r="H70" s="492" t="str">
        <f>$D$21</f>
        <v>DOVE</v>
      </c>
      <c r="I70" s="492" t="str">
        <f>$E$43</f>
        <v>ASH - BC01</v>
      </c>
      <c r="J70" s="187" t="s">
        <v>87</v>
      </c>
      <c r="K70" s="187">
        <f>$Q$21</f>
        <v>783</v>
      </c>
      <c r="L70" s="187">
        <v>1</v>
      </c>
      <c r="M70" s="187">
        <f t="shared" si="23"/>
        <v>783</v>
      </c>
      <c r="N70" s="193"/>
      <c r="O70" s="189">
        <f t="shared" si="24"/>
        <v>783</v>
      </c>
      <c r="P70" s="474" t="s">
        <v>747</v>
      </c>
      <c r="Q70" s="475"/>
    </row>
    <row r="71" spans="1:17" s="34" customFormat="1" ht="65.25" customHeight="1">
      <c r="A71" s="192">
        <v>4</v>
      </c>
      <c r="B71" s="489" t="s">
        <v>748</v>
      </c>
      <c r="C71" s="489"/>
      <c r="D71" s="489"/>
      <c r="E71" s="489"/>
      <c r="F71" s="183" t="s">
        <v>103</v>
      </c>
      <c r="G71" s="491"/>
      <c r="H71" s="492" t="str">
        <f t="shared" ref="H71" si="26">$D$27</f>
        <v>HEATHER GREY</v>
      </c>
      <c r="I71" s="492"/>
      <c r="J71" s="187" t="s">
        <v>87</v>
      </c>
      <c r="K71" s="187">
        <f>$Q$27</f>
        <v>782</v>
      </c>
      <c r="L71" s="187">
        <v>1</v>
      </c>
      <c r="M71" s="187">
        <f t="shared" si="23"/>
        <v>782</v>
      </c>
      <c r="N71" s="193"/>
      <c r="O71" s="189">
        <f t="shared" si="24"/>
        <v>782</v>
      </c>
      <c r="P71" s="476"/>
      <c r="Q71" s="477"/>
    </row>
    <row r="72" spans="1:17" s="34" customFormat="1" ht="65.25" customHeight="1">
      <c r="A72" s="192">
        <v>5</v>
      </c>
      <c r="B72" s="480" t="s">
        <v>755</v>
      </c>
      <c r="C72" s="471"/>
      <c r="D72" s="471"/>
      <c r="E72" s="471"/>
      <c r="F72" s="183" t="s">
        <v>105</v>
      </c>
      <c r="G72" s="183"/>
      <c r="H72" s="492" t="str">
        <f>$D$21</f>
        <v>DOVE</v>
      </c>
      <c r="I72" s="492" t="str">
        <f>$E$43</f>
        <v>ASH - BC01</v>
      </c>
      <c r="J72" s="187" t="s">
        <v>87</v>
      </c>
      <c r="K72" s="187">
        <f>$Q$21</f>
        <v>783</v>
      </c>
      <c r="L72" s="194">
        <f>1/12</f>
        <v>8.3333333333333329E-2</v>
      </c>
      <c r="M72" s="187">
        <f t="shared" si="23"/>
        <v>65.25</v>
      </c>
      <c r="N72" s="193"/>
      <c r="O72" s="189">
        <f t="shared" si="24"/>
        <v>66</v>
      </c>
      <c r="P72" s="499"/>
      <c r="Q72" s="499"/>
    </row>
    <row r="73" spans="1:17" s="34" customFormat="1" ht="65.25" customHeight="1">
      <c r="A73" s="192">
        <v>6</v>
      </c>
      <c r="B73" s="480" t="s">
        <v>755</v>
      </c>
      <c r="C73" s="471"/>
      <c r="D73" s="471"/>
      <c r="E73" s="471"/>
      <c r="F73" s="183" t="s">
        <v>105</v>
      </c>
      <c r="G73" s="183"/>
      <c r="H73" s="492" t="str">
        <f t="shared" ref="H73" si="27">$D$27</f>
        <v>HEATHER GREY</v>
      </c>
      <c r="I73" s="492"/>
      <c r="J73" s="187" t="s">
        <v>87</v>
      </c>
      <c r="K73" s="187">
        <f>$Q$27</f>
        <v>782</v>
      </c>
      <c r="L73" s="194">
        <f>1/12</f>
        <v>8.3333333333333329E-2</v>
      </c>
      <c r="M73" s="187">
        <f t="shared" si="23"/>
        <v>65.166666666666657</v>
      </c>
      <c r="N73" s="193"/>
      <c r="O73" s="189">
        <f t="shared" si="24"/>
        <v>66</v>
      </c>
      <c r="P73" s="499"/>
      <c r="Q73" s="499"/>
    </row>
    <row r="74" spans="1:17" s="34" customFormat="1" ht="65.25" customHeight="1">
      <c r="A74" s="192">
        <v>7</v>
      </c>
      <c r="B74" s="480" t="s">
        <v>145</v>
      </c>
      <c r="C74" s="480"/>
      <c r="D74" s="480"/>
      <c r="E74" s="480"/>
      <c r="F74" s="493" t="s">
        <v>91</v>
      </c>
      <c r="G74" s="494"/>
      <c r="H74" s="492" t="str">
        <f>$D$21</f>
        <v>DOVE</v>
      </c>
      <c r="I74" s="492" t="str">
        <f>$E$43</f>
        <v>ASH - BC01</v>
      </c>
      <c r="J74" s="187" t="s">
        <v>87</v>
      </c>
      <c r="K74" s="187">
        <f>$Q$21</f>
        <v>783</v>
      </c>
      <c r="L74" s="353">
        <f t="shared" ref="L74:L77" si="28">1/12*2</f>
        <v>0.16666666666666666</v>
      </c>
      <c r="M74" s="187">
        <f t="shared" si="23"/>
        <v>130.5</v>
      </c>
      <c r="N74" s="193"/>
      <c r="O74" s="189">
        <f>ROUNDUP(N74+M74,0)</f>
        <v>131</v>
      </c>
      <c r="P74" s="495"/>
      <c r="Q74" s="496"/>
    </row>
    <row r="75" spans="1:17" s="34" customFormat="1" ht="65.25" customHeight="1">
      <c r="A75" s="192">
        <v>8</v>
      </c>
      <c r="B75" s="480" t="s">
        <v>145</v>
      </c>
      <c r="C75" s="480"/>
      <c r="D75" s="480"/>
      <c r="E75" s="480"/>
      <c r="F75" s="493"/>
      <c r="G75" s="494"/>
      <c r="H75" s="492" t="str">
        <f t="shared" ref="H75" si="29">$D$27</f>
        <v>HEATHER GREY</v>
      </c>
      <c r="I75" s="492"/>
      <c r="J75" s="187" t="s">
        <v>87</v>
      </c>
      <c r="K75" s="187">
        <f>$Q$27</f>
        <v>782</v>
      </c>
      <c r="L75" s="353">
        <f t="shared" si="28"/>
        <v>0.16666666666666666</v>
      </c>
      <c r="M75" s="187">
        <f t="shared" si="23"/>
        <v>130.33333333333331</v>
      </c>
      <c r="N75" s="193"/>
      <c r="O75" s="189">
        <f>ROUNDUP(N75+M75,0)</f>
        <v>131</v>
      </c>
      <c r="P75" s="497"/>
      <c r="Q75" s="498"/>
    </row>
    <row r="76" spans="1:17" s="34" customFormat="1" ht="65.25" customHeight="1">
      <c r="A76" s="192">
        <v>9</v>
      </c>
      <c r="B76" s="504" t="s">
        <v>757</v>
      </c>
      <c r="C76" s="504"/>
      <c r="D76" s="504"/>
      <c r="E76" s="504"/>
      <c r="F76" s="506" t="s">
        <v>170</v>
      </c>
      <c r="G76" s="507"/>
      <c r="H76" s="505" t="str">
        <f>$D$21</f>
        <v>DOVE</v>
      </c>
      <c r="I76" s="505" t="str">
        <f>$E$43</f>
        <v>ASH - BC01</v>
      </c>
      <c r="J76" s="429" t="s">
        <v>87</v>
      </c>
      <c r="K76" s="429">
        <f>$Q$21</f>
        <v>783</v>
      </c>
      <c r="L76" s="430">
        <f t="shared" si="28"/>
        <v>0.16666666666666666</v>
      </c>
      <c r="M76" s="429">
        <f t="shared" si="23"/>
        <v>130.5</v>
      </c>
      <c r="N76" s="431"/>
      <c r="O76" s="432">
        <f>ROUNDUP(N76+M76,0)</f>
        <v>131</v>
      </c>
      <c r="P76" s="500" t="s">
        <v>758</v>
      </c>
      <c r="Q76" s="501"/>
    </row>
    <row r="77" spans="1:17" s="34" customFormat="1" ht="65.25" customHeight="1">
      <c r="A77" s="192">
        <v>10</v>
      </c>
      <c r="B77" s="504" t="s">
        <v>757</v>
      </c>
      <c r="C77" s="504"/>
      <c r="D77" s="504"/>
      <c r="E77" s="504"/>
      <c r="F77" s="506"/>
      <c r="G77" s="507"/>
      <c r="H77" s="505" t="str">
        <f t="shared" ref="H77" si="30">$D$27</f>
        <v>HEATHER GREY</v>
      </c>
      <c r="I77" s="505"/>
      <c r="J77" s="429" t="s">
        <v>87</v>
      </c>
      <c r="K77" s="429">
        <f>$Q$27</f>
        <v>782</v>
      </c>
      <c r="L77" s="430">
        <f t="shared" si="28"/>
        <v>0.16666666666666666</v>
      </c>
      <c r="M77" s="429">
        <f t="shared" si="23"/>
        <v>130.33333333333331</v>
      </c>
      <c r="N77" s="431"/>
      <c r="O77" s="432">
        <f>ROUNDUP(N77+M77,0)</f>
        <v>131</v>
      </c>
      <c r="P77" s="502"/>
      <c r="Q77" s="503"/>
    </row>
    <row r="78" spans="1:17" s="34" customFormat="1" ht="65.25" customHeight="1">
      <c r="A78" s="192">
        <v>11</v>
      </c>
      <c r="B78" s="480" t="s">
        <v>106</v>
      </c>
      <c r="C78" s="471"/>
      <c r="D78" s="471"/>
      <c r="E78" s="471"/>
      <c r="F78" s="183" t="s">
        <v>105</v>
      </c>
      <c r="G78" s="183"/>
      <c r="H78" s="492" t="str">
        <f>$D$21</f>
        <v>DOVE</v>
      </c>
      <c r="I78" s="492" t="str">
        <f>$E$43</f>
        <v>ASH - BC01</v>
      </c>
      <c r="J78" s="187" t="s">
        <v>87</v>
      </c>
      <c r="K78" s="187">
        <f>$Q$21</f>
        <v>783</v>
      </c>
      <c r="L78" s="194">
        <f>L72*2</f>
        <v>0.16666666666666666</v>
      </c>
      <c r="M78" s="187">
        <f t="shared" si="23"/>
        <v>130.5</v>
      </c>
      <c r="N78" s="193"/>
      <c r="O78" s="189">
        <f t="shared" si="24"/>
        <v>131</v>
      </c>
      <c r="P78" s="499"/>
      <c r="Q78" s="499"/>
    </row>
    <row r="79" spans="1:17" s="34" customFormat="1" ht="65.25" customHeight="1">
      <c r="A79" s="192">
        <v>12</v>
      </c>
      <c r="B79" s="480" t="s">
        <v>106</v>
      </c>
      <c r="C79" s="471"/>
      <c r="D79" s="471"/>
      <c r="E79" s="471"/>
      <c r="F79" s="183" t="s">
        <v>105</v>
      </c>
      <c r="G79" s="183"/>
      <c r="H79" s="492" t="str">
        <f t="shared" ref="H79" si="31">$D$27</f>
        <v>HEATHER GREY</v>
      </c>
      <c r="I79" s="492"/>
      <c r="J79" s="187" t="s">
        <v>87</v>
      </c>
      <c r="K79" s="187">
        <f>$Q$27</f>
        <v>782</v>
      </c>
      <c r="L79" s="194">
        <f>L73*2</f>
        <v>0.16666666666666666</v>
      </c>
      <c r="M79" s="187">
        <f t="shared" si="23"/>
        <v>130.33333333333331</v>
      </c>
      <c r="N79" s="193"/>
      <c r="O79" s="189">
        <f t="shared" si="24"/>
        <v>131</v>
      </c>
      <c r="P79" s="499"/>
      <c r="Q79" s="499"/>
    </row>
    <row r="80" spans="1:17" s="34" customFormat="1" ht="65.25" customHeight="1">
      <c r="A80" s="192">
        <v>13</v>
      </c>
      <c r="B80" s="480" t="s">
        <v>107</v>
      </c>
      <c r="C80" s="471"/>
      <c r="D80" s="471"/>
      <c r="E80" s="471"/>
      <c r="F80" s="183" t="s">
        <v>103</v>
      </c>
      <c r="G80" s="183"/>
      <c r="H80" s="492" t="str">
        <f>$D$21</f>
        <v>DOVE</v>
      </c>
      <c r="I80" s="492" t="str">
        <f>$E$43</f>
        <v>ASH - BC01</v>
      </c>
      <c r="J80" s="187" t="s">
        <v>87</v>
      </c>
      <c r="K80" s="187">
        <f>$Q$21</f>
        <v>783</v>
      </c>
      <c r="L80" s="194">
        <f>L72</f>
        <v>8.3333333333333329E-2</v>
      </c>
      <c r="M80" s="187">
        <f t="shared" si="23"/>
        <v>65.25</v>
      </c>
      <c r="N80" s="193"/>
      <c r="O80" s="189">
        <f t="shared" si="24"/>
        <v>66</v>
      </c>
      <c r="P80" s="499"/>
      <c r="Q80" s="499"/>
    </row>
    <row r="81" spans="1:17" s="34" customFormat="1" ht="65.25" customHeight="1">
      <c r="A81" s="192">
        <v>14</v>
      </c>
      <c r="B81" s="480" t="s">
        <v>107</v>
      </c>
      <c r="C81" s="471"/>
      <c r="D81" s="471"/>
      <c r="E81" s="471"/>
      <c r="F81" s="183" t="s">
        <v>103</v>
      </c>
      <c r="G81" s="183"/>
      <c r="H81" s="492" t="str">
        <f t="shared" ref="H81" si="32">$D$27</f>
        <v>HEATHER GREY</v>
      </c>
      <c r="I81" s="492"/>
      <c r="J81" s="187" t="s">
        <v>87</v>
      </c>
      <c r="K81" s="187">
        <f>$Q$27</f>
        <v>782</v>
      </c>
      <c r="L81" s="194">
        <f>L73</f>
        <v>8.3333333333333329E-2</v>
      </c>
      <c r="M81" s="187">
        <f t="shared" si="23"/>
        <v>65.166666666666657</v>
      </c>
      <c r="N81" s="193"/>
      <c r="O81" s="189">
        <f t="shared" si="24"/>
        <v>66</v>
      </c>
      <c r="P81" s="499"/>
      <c r="Q81" s="499"/>
    </row>
    <row r="82" spans="1:17" s="15" customFormat="1" ht="27.5">
      <c r="A82" s="92"/>
      <c r="B82" s="92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</row>
    <row r="83" spans="1:17" s="15" customFormat="1" ht="33" customHeight="1">
      <c r="B83" s="87" t="s">
        <v>111</v>
      </c>
      <c r="C83" s="88"/>
      <c r="D83" s="89"/>
      <c r="E83" s="89"/>
      <c r="F83" s="89"/>
      <c r="G83" s="90"/>
      <c r="H83" s="89"/>
      <c r="I83" s="89"/>
      <c r="J83" s="508" t="s">
        <v>112</v>
      </c>
      <c r="K83" s="508"/>
      <c r="L83" s="508"/>
      <c r="M83" s="508"/>
      <c r="N83" s="508"/>
      <c r="O83" s="33"/>
      <c r="P83" s="33"/>
      <c r="Q83" s="34"/>
    </row>
    <row r="84" spans="1:17" s="92" customFormat="1" ht="54.65" customHeight="1">
      <c r="A84" s="92">
        <v>1</v>
      </c>
      <c r="B84" s="94" t="s">
        <v>113</v>
      </c>
      <c r="C84" s="98" t="s">
        <v>114</v>
      </c>
      <c r="D84" s="15"/>
      <c r="E84" s="15"/>
      <c r="F84" s="15"/>
      <c r="G84" s="35"/>
      <c r="H84" s="35"/>
      <c r="I84" s="35"/>
      <c r="J84" s="35"/>
      <c r="K84" s="19"/>
      <c r="L84" s="19"/>
      <c r="M84" s="35"/>
      <c r="N84" s="35"/>
      <c r="O84" s="35"/>
      <c r="P84" s="35"/>
      <c r="Q84" s="35"/>
    </row>
    <row r="85" spans="1:17" s="15" customFormat="1" ht="34.5" hidden="1" customHeight="1">
      <c r="A85" s="92"/>
      <c r="B85" s="509" t="s">
        <v>115</v>
      </c>
      <c r="C85" s="510"/>
      <c r="D85" s="510"/>
      <c r="E85" s="510"/>
      <c r="F85" s="510"/>
      <c r="G85" s="510"/>
      <c r="H85" s="510"/>
      <c r="I85" s="511"/>
      <c r="J85" s="35"/>
      <c r="K85" s="19"/>
      <c r="L85" s="19"/>
      <c r="M85" s="35"/>
      <c r="N85" s="35"/>
      <c r="O85" s="35"/>
      <c r="P85" s="35"/>
      <c r="Q85" s="35"/>
    </row>
    <row r="86" spans="1:17" s="15" customFormat="1" ht="59.25" hidden="1" customHeight="1">
      <c r="A86" s="92"/>
      <c r="B86" s="512" t="s">
        <v>73</v>
      </c>
      <c r="C86" s="513"/>
      <c r="D86" s="514" t="s">
        <v>116</v>
      </c>
      <c r="E86" s="515"/>
      <c r="F86" s="515"/>
      <c r="G86" s="515"/>
      <c r="H86" s="515"/>
      <c r="I86" s="516"/>
      <c r="J86" s="35"/>
      <c r="K86" s="35"/>
      <c r="L86" s="35"/>
      <c r="M86" s="35"/>
      <c r="N86" s="35"/>
      <c r="O86" s="35"/>
      <c r="P86" s="35"/>
      <c r="Q86" s="35"/>
    </row>
    <row r="87" spans="1:17" s="15" customFormat="1" ht="78.650000000000006" hidden="1" customHeight="1">
      <c r="A87" s="92"/>
      <c r="B87" s="528" t="str">
        <f>$D$21</f>
        <v>DOVE</v>
      </c>
      <c r="C87" s="528" t="str">
        <f t="shared" ref="C87:C90" si="33">$E$43</f>
        <v>ASH - BC01</v>
      </c>
      <c r="D87" s="517"/>
      <c r="E87" s="518"/>
      <c r="F87" s="518"/>
      <c r="G87" s="518"/>
      <c r="H87" s="518"/>
      <c r="I87" s="519"/>
      <c r="J87" s="35"/>
      <c r="K87" s="35"/>
      <c r="L87" s="35"/>
      <c r="M87" s="35"/>
      <c r="N87" s="35"/>
      <c r="O87" s="35"/>
    </row>
    <row r="88" spans="1:17" s="15" customFormat="1" ht="78.75" hidden="1" customHeight="1">
      <c r="A88" s="92"/>
      <c r="B88" s="528" t="str">
        <f t="shared" ref="B88" si="34">$D$27</f>
        <v>HEATHER GREY</v>
      </c>
      <c r="C88" s="528"/>
      <c r="D88" s="517"/>
      <c r="E88" s="518"/>
      <c r="F88" s="518"/>
      <c r="G88" s="518"/>
      <c r="H88" s="518"/>
      <c r="I88" s="519"/>
      <c r="J88" s="35"/>
      <c r="K88" s="35"/>
      <c r="L88" s="35"/>
      <c r="M88" s="35"/>
      <c r="N88" s="35"/>
      <c r="O88" s="35"/>
    </row>
    <row r="89" spans="1:17" s="15" customFormat="1" ht="78.75" hidden="1" customHeight="1">
      <c r="A89" s="92"/>
      <c r="B89" s="528" t="str">
        <f>$D$33</f>
        <v>SANDSTONE</v>
      </c>
      <c r="C89" s="528" t="str">
        <f t="shared" si="33"/>
        <v>ASH - BC01</v>
      </c>
      <c r="D89" s="517"/>
      <c r="E89" s="518"/>
      <c r="F89" s="518"/>
      <c r="G89" s="518"/>
      <c r="H89" s="518"/>
      <c r="I89" s="519"/>
      <c r="J89" s="35"/>
      <c r="K89" s="35"/>
      <c r="L89" s="35"/>
      <c r="M89" s="35"/>
      <c r="N89" s="35"/>
      <c r="O89" s="35"/>
    </row>
    <row r="90" spans="1:17" s="15" customFormat="1" ht="78.75" hidden="1" customHeight="1">
      <c r="A90" s="92"/>
      <c r="B90" s="528" t="e">
        <f>#REF!</f>
        <v>#REF!</v>
      </c>
      <c r="C90" s="528" t="str">
        <f t="shared" si="33"/>
        <v>ASH - BC01</v>
      </c>
      <c r="D90" s="517"/>
      <c r="E90" s="518"/>
      <c r="F90" s="518"/>
      <c r="G90" s="518"/>
      <c r="H90" s="518"/>
      <c r="I90" s="519"/>
      <c r="J90" s="35"/>
      <c r="K90" s="35"/>
      <c r="L90" s="35"/>
      <c r="M90" s="35"/>
      <c r="N90" s="35"/>
      <c r="O90" s="35"/>
    </row>
    <row r="91" spans="1:17" s="15" customFormat="1" ht="27.5" hidden="1"/>
    <row r="92" spans="1:17" s="15" customFormat="1" ht="28" hidden="1">
      <c r="A92" s="92"/>
      <c r="B92" s="509"/>
      <c r="C92" s="510"/>
      <c r="D92" s="520"/>
      <c r="E92" s="520"/>
      <c r="F92" s="520"/>
      <c r="G92" s="520"/>
      <c r="H92" s="520"/>
      <c r="I92" s="521"/>
      <c r="J92" s="35"/>
      <c r="K92" s="35"/>
      <c r="L92" s="35"/>
    </row>
    <row r="93" spans="1:17" s="15" customFormat="1" ht="40.5" hidden="1" customHeight="1">
      <c r="A93" s="92"/>
      <c r="B93" s="522"/>
      <c r="C93" s="523"/>
      <c r="D93" s="249" t="s">
        <v>117</v>
      </c>
      <c r="E93" s="249" t="s">
        <v>35</v>
      </c>
      <c r="F93" s="249" t="s">
        <v>36</v>
      </c>
      <c r="G93" s="249" t="s">
        <v>37</v>
      </c>
      <c r="H93" s="249" t="s">
        <v>38</v>
      </c>
      <c r="I93" s="249" t="s">
        <v>39</v>
      </c>
      <c r="J93" s="35"/>
    </row>
    <row r="94" spans="1:17" s="15" customFormat="1" ht="178.5" hidden="1" customHeight="1">
      <c r="A94" s="92"/>
      <c r="B94" s="524" t="s">
        <v>118</v>
      </c>
      <c r="C94" s="524"/>
      <c r="D94" s="525">
        <v>2.2000000000000002</v>
      </c>
      <c r="E94" s="526"/>
      <c r="F94" s="526"/>
      <c r="G94" s="526"/>
      <c r="H94" s="526"/>
      <c r="I94" s="527"/>
      <c r="J94" s="35"/>
    </row>
    <row r="95" spans="1:17" s="15" customFormat="1" ht="12.75" customHeight="1">
      <c r="A95" s="92"/>
      <c r="B95" s="92"/>
      <c r="C95" s="92"/>
      <c r="D95" s="92"/>
      <c r="E95" s="92"/>
      <c r="F95" s="92"/>
      <c r="G95" s="92"/>
      <c r="H95" s="92"/>
      <c r="I95" s="92"/>
      <c r="J95" s="35"/>
      <c r="K95" s="35"/>
      <c r="L95" s="35"/>
      <c r="M95" s="35"/>
      <c r="N95" s="35"/>
      <c r="O95" s="35"/>
      <c r="P95" s="35"/>
      <c r="Q95" s="35"/>
    </row>
    <row r="96" spans="1:17" s="92" customFormat="1" ht="54.65" customHeight="1">
      <c r="A96" s="16">
        <v>2</v>
      </c>
      <c r="B96" s="94" t="s">
        <v>119</v>
      </c>
      <c r="C96" s="540" t="s">
        <v>752</v>
      </c>
      <c r="D96" s="540"/>
      <c r="E96" s="540"/>
      <c r="F96" s="540"/>
      <c r="G96" s="35"/>
      <c r="H96" s="35"/>
      <c r="I96" s="35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28" hidden="1">
      <c r="A97" s="92"/>
      <c r="B97" s="509" t="s">
        <v>115</v>
      </c>
      <c r="C97" s="510"/>
      <c r="D97" s="510"/>
      <c r="E97" s="510"/>
      <c r="F97" s="510"/>
      <c r="G97" s="510"/>
      <c r="H97" s="510"/>
      <c r="I97" s="511"/>
      <c r="J97" s="35"/>
      <c r="K97" s="19"/>
      <c r="L97" s="19"/>
      <c r="M97" s="35"/>
      <c r="N97" s="35"/>
      <c r="O97" s="35"/>
      <c r="P97" s="35"/>
      <c r="Q97" s="35"/>
    </row>
    <row r="98" spans="1:17" s="15" customFormat="1" ht="63" hidden="1" customHeight="1">
      <c r="A98" s="92"/>
      <c r="B98" s="512" t="s">
        <v>73</v>
      </c>
      <c r="C98" s="513"/>
      <c r="D98" s="514" t="s">
        <v>116</v>
      </c>
      <c r="E98" s="515"/>
      <c r="F98" s="515"/>
      <c r="G98" s="515"/>
      <c r="H98" s="515"/>
      <c r="I98" s="516"/>
      <c r="J98" s="35"/>
      <c r="K98" s="35"/>
      <c r="L98" s="35"/>
      <c r="M98" s="35"/>
      <c r="N98" s="35"/>
      <c r="O98" s="35"/>
      <c r="P98" s="35"/>
      <c r="Q98" s="35"/>
    </row>
    <row r="99" spans="1:17" s="15" customFormat="1" ht="72" hidden="1" customHeight="1">
      <c r="A99" s="92"/>
      <c r="B99" s="528" t="str">
        <f>$D$21</f>
        <v>DOVE</v>
      </c>
      <c r="C99" s="528" t="str">
        <f t="shared" ref="C99:C102" si="35">$E$43</f>
        <v>ASH - BC01</v>
      </c>
      <c r="D99" s="517" t="s">
        <v>121</v>
      </c>
      <c r="E99" s="518"/>
      <c r="F99" s="518"/>
      <c r="G99" s="518"/>
      <c r="H99" s="518"/>
      <c r="I99" s="519"/>
      <c r="J99" s="35"/>
      <c r="K99" s="35"/>
      <c r="L99" s="35"/>
      <c r="M99" s="35"/>
      <c r="N99" s="35"/>
      <c r="O99" s="35"/>
    </row>
    <row r="100" spans="1:17" s="15" customFormat="1" ht="54" hidden="1" customHeight="1">
      <c r="A100" s="92"/>
      <c r="B100" s="528" t="str">
        <f t="shared" ref="B100" si="36">$D$27</f>
        <v>HEATHER GREY</v>
      </c>
      <c r="C100" s="528"/>
      <c r="D100" s="517" t="s">
        <v>122</v>
      </c>
      <c r="E100" s="518"/>
      <c r="F100" s="518"/>
      <c r="G100" s="518"/>
      <c r="H100" s="518"/>
      <c r="I100" s="519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528" t="str">
        <f>$D$33</f>
        <v>SANDSTONE</v>
      </c>
      <c r="C101" s="528" t="str">
        <f t="shared" si="35"/>
        <v>ASH - BC01</v>
      </c>
      <c r="D101" s="517" t="s">
        <v>121</v>
      </c>
      <c r="E101" s="518"/>
      <c r="F101" s="518"/>
      <c r="G101" s="518"/>
      <c r="H101" s="518"/>
      <c r="I101" s="519"/>
      <c r="J101" s="35"/>
      <c r="K101" s="35"/>
      <c r="L101" s="35"/>
      <c r="M101" s="35"/>
      <c r="N101" s="35"/>
      <c r="O101" s="35"/>
    </row>
    <row r="102" spans="1:17" s="15" customFormat="1" ht="54" hidden="1" customHeight="1">
      <c r="A102" s="92"/>
      <c r="B102" s="528" t="e">
        <f>#REF!</f>
        <v>#REF!</v>
      </c>
      <c r="C102" s="528" t="str">
        <f t="shared" si="35"/>
        <v>ASH - BC01</v>
      </c>
      <c r="D102" s="517" t="s">
        <v>122</v>
      </c>
      <c r="E102" s="518"/>
      <c r="F102" s="518"/>
      <c r="G102" s="518"/>
      <c r="H102" s="518"/>
      <c r="I102" s="519"/>
      <c r="J102" s="35"/>
      <c r="K102" s="35"/>
      <c r="L102" s="35"/>
      <c r="M102" s="35"/>
      <c r="N102" s="35"/>
      <c r="O102" s="35"/>
    </row>
    <row r="103" spans="1:17" s="15" customFormat="1" ht="54" hidden="1" customHeight="1">
      <c r="A103" s="92"/>
      <c r="B103" s="198"/>
      <c r="C103" s="199"/>
      <c r="D103" s="200"/>
      <c r="E103" s="184"/>
      <c r="F103" s="184"/>
      <c r="G103" s="184"/>
      <c r="H103" s="184"/>
      <c r="I103" s="185"/>
      <c r="J103" s="35"/>
      <c r="K103" s="35"/>
      <c r="L103" s="35"/>
      <c r="M103" s="35"/>
      <c r="N103" s="35"/>
      <c r="O103" s="35"/>
    </row>
    <row r="104" spans="1:17" s="15" customFormat="1" ht="28" hidden="1">
      <c r="A104" s="92"/>
      <c r="B104" s="509" t="s">
        <v>123</v>
      </c>
      <c r="C104" s="510"/>
      <c r="D104" s="520"/>
      <c r="E104" s="520"/>
      <c r="F104" s="520"/>
      <c r="G104" s="520"/>
      <c r="H104" s="520"/>
      <c r="I104" s="521"/>
      <c r="J104" s="35"/>
      <c r="K104" s="35"/>
      <c r="L104" s="35"/>
    </row>
    <row r="105" spans="1:17" s="15" customFormat="1" ht="56.25" hidden="1" customHeight="1">
      <c r="A105" s="92"/>
      <c r="B105" s="522"/>
      <c r="C105" s="523"/>
      <c r="D105" s="249" t="s">
        <v>117</v>
      </c>
      <c r="E105" s="249" t="s">
        <v>35</v>
      </c>
      <c r="F105" s="249" t="s">
        <v>36</v>
      </c>
      <c r="G105" s="249" t="s">
        <v>37</v>
      </c>
      <c r="H105" s="249" t="s">
        <v>38</v>
      </c>
      <c r="I105" s="249" t="s">
        <v>39</v>
      </c>
      <c r="J105" s="35"/>
    </row>
    <row r="106" spans="1:17" s="15" customFormat="1" ht="151.5" hidden="1" customHeight="1">
      <c r="A106" s="92"/>
      <c r="B106" s="524" t="s">
        <v>124</v>
      </c>
      <c r="C106" s="524"/>
      <c r="D106" s="177"/>
      <c r="E106" s="178"/>
      <c r="F106" s="178"/>
      <c r="G106" s="178"/>
      <c r="H106" s="178"/>
      <c r="I106" s="178"/>
      <c r="J106" s="35"/>
    </row>
    <row r="107" spans="1:17" s="15" customFormat="1" ht="27.5">
      <c r="A107" s="92"/>
      <c r="B107" s="92"/>
      <c r="C107" s="92"/>
      <c r="D107" s="92"/>
      <c r="E107" s="92"/>
      <c r="F107" s="92"/>
      <c r="G107" s="92"/>
      <c r="H107" s="92"/>
      <c r="I107" s="92"/>
      <c r="J107" s="35"/>
      <c r="K107" s="35"/>
      <c r="L107" s="35"/>
      <c r="M107" s="35"/>
      <c r="N107" s="35"/>
      <c r="O107" s="35"/>
      <c r="P107" s="35"/>
      <c r="Q107" s="35"/>
    </row>
    <row r="108" spans="1:17" s="92" customFormat="1" ht="48.65" customHeight="1">
      <c r="A108" s="16">
        <v>3</v>
      </c>
      <c r="B108" s="94" t="s">
        <v>125</v>
      </c>
      <c r="C108" s="18" t="s">
        <v>955</v>
      </c>
      <c r="D108" s="18"/>
      <c r="E108" s="18"/>
      <c r="F108" s="18"/>
      <c r="G108" s="35"/>
      <c r="H108" s="35"/>
      <c r="I108" s="35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36.65" customHeight="1">
      <c r="A109" s="92"/>
      <c r="B109" s="512" t="s">
        <v>73</v>
      </c>
      <c r="C109" s="513"/>
      <c r="D109" s="514" t="s">
        <v>957</v>
      </c>
      <c r="E109" s="515"/>
      <c r="F109" s="515"/>
      <c r="G109" s="515"/>
      <c r="H109" s="515"/>
      <c r="I109" s="516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77.150000000000006" customHeight="1">
      <c r="A110" s="92"/>
      <c r="B110" s="528" t="str">
        <f>$D$21</f>
        <v>DOVE</v>
      </c>
      <c r="C110" s="528" t="str">
        <f t="shared" ref="C110:C112" si="37">$E$43</f>
        <v>ASH - BC01</v>
      </c>
      <c r="D110" s="531" t="s">
        <v>956</v>
      </c>
      <c r="E110" s="532"/>
      <c r="F110" s="532"/>
      <c r="G110" s="532"/>
      <c r="H110" s="532"/>
      <c r="I110" s="533"/>
      <c r="J110" s="35"/>
      <c r="K110" s="35"/>
      <c r="L110" s="35"/>
      <c r="M110" s="35"/>
      <c r="N110" s="35"/>
      <c r="O110" s="35"/>
    </row>
    <row r="111" spans="1:17" s="15" customFormat="1" ht="77.150000000000006" customHeight="1">
      <c r="A111" s="92"/>
      <c r="B111" s="528" t="str">
        <f t="shared" ref="B111" si="38">$D$27</f>
        <v>HEATHER GREY</v>
      </c>
      <c r="C111" s="528"/>
      <c r="D111" s="534"/>
      <c r="E111" s="535"/>
      <c r="F111" s="535"/>
      <c r="G111" s="535"/>
      <c r="H111" s="535"/>
      <c r="I111" s="536"/>
      <c r="J111" s="35"/>
      <c r="K111" s="35"/>
      <c r="L111" s="35"/>
      <c r="M111" s="35"/>
      <c r="N111" s="35"/>
      <c r="O111" s="35"/>
    </row>
    <row r="112" spans="1:17" s="15" customFormat="1" ht="77.150000000000006" hidden="1" customHeight="1">
      <c r="A112" s="92"/>
      <c r="B112" s="528" t="str">
        <f>$D$33</f>
        <v>SANDSTONE</v>
      </c>
      <c r="C112" s="528" t="str">
        <f t="shared" si="37"/>
        <v>ASH - BC01</v>
      </c>
      <c r="D112" s="537"/>
      <c r="E112" s="538"/>
      <c r="F112" s="538"/>
      <c r="G112" s="538"/>
      <c r="H112" s="538"/>
      <c r="I112" s="539"/>
      <c r="J112" s="35"/>
      <c r="K112" s="35"/>
      <c r="L112" s="35"/>
      <c r="M112" s="35"/>
      <c r="N112" s="35"/>
      <c r="O112" s="35"/>
    </row>
    <row r="113" spans="1:17" s="15" customFormat="1" ht="27.5">
      <c r="A113" s="92"/>
      <c r="B113" s="92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</row>
    <row r="114" spans="1:17" s="15" customFormat="1" ht="29.25" customHeight="1">
      <c r="B114" s="508" t="s">
        <v>127</v>
      </c>
      <c r="C114" s="508"/>
      <c r="D114" s="508"/>
      <c r="E114" s="508"/>
      <c r="G114" s="35"/>
      <c r="N114" s="34"/>
      <c r="O114" s="33"/>
      <c r="P114" s="33"/>
      <c r="Q114" s="34"/>
    </row>
    <row r="115" spans="1:17" s="15" customFormat="1" ht="35.25" customHeight="1">
      <c r="A115" s="92">
        <v>1</v>
      </c>
      <c r="B115" s="95" t="s">
        <v>128</v>
      </c>
      <c r="C115" s="92"/>
      <c r="D115" s="92"/>
      <c r="G115" s="35"/>
      <c r="N115" s="34"/>
      <c r="O115" s="33"/>
      <c r="P115" s="33"/>
      <c r="Q115" s="34"/>
    </row>
    <row r="116" spans="1:17" s="15" customFormat="1" ht="35.25" customHeight="1">
      <c r="A116" s="92">
        <v>2</v>
      </c>
      <c r="B116" s="95" t="s">
        <v>129</v>
      </c>
      <c r="C116" s="92"/>
      <c r="D116" s="92"/>
      <c r="G116" s="35"/>
      <c r="N116" s="34"/>
      <c r="O116" s="33"/>
      <c r="P116" s="33"/>
      <c r="Q116" s="34"/>
    </row>
    <row r="117" spans="1:17" s="15" customFormat="1" ht="35.25" customHeight="1">
      <c r="A117" s="92">
        <v>3</v>
      </c>
      <c r="B117" s="95" t="s">
        <v>130</v>
      </c>
      <c r="C117" s="92"/>
      <c r="D117" s="92"/>
      <c r="G117" s="35"/>
      <c r="N117" s="34"/>
      <c r="O117" s="33"/>
      <c r="P117" s="33"/>
      <c r="Q117" s="34"/>
    </row>
    <row r="118" spans="1:17" s="18" customFormat="1" ht="28">
      <c r="A118" s="16"/>
      <c r="B118" s="250" t="s">
        <v>131</v>
      </c>
      <c r="C118" s="251" t="s">
        <v>723</v>
      </c>
      <c r="D118" s="251" t="s">
        <v>117</v>
      </c>
      <c r="E118" s="251" t="s">
        <v>35</v>
      </c>
      <c r="F118" s="251" t="s">
        <v>36</v>
      </c>
      <c r="G118" s="251" t="s">
        <v>37</v>
      </c>
      <c r="H118" s="251" t="s">
        <v>38</v>
      </c>
      <c r="I118" s="251" t="s">
        <v>39</v>
      </c>
      <c r="J118" s="251" t="s">
        <v>40</v>
      </c>
      <c r="M118" s="36"/>
      <c r="N118" s="37"/>
      <c r="O118" s="37"/>
      <c r="P118" s="36"/>
    </row>
    <row r="119" spans="1:17" s="18" customFormat="1" ht="50.15" customHeight="1">
      <c r="A119" s="16"/>
      <c r="B119" s="250" t="s">
        <v>132</v>
      </c>
      <c r="C119" s="189">
        <f>G35</f>
        <v>39</v>
      </c>
      <c r="D119" s="189">
        <f t="shared" ref="D119:I119" si="39">H35</f>
        <v>136</v>
      </c>
      <c r="E119" s="189">
        <f t="shared" si="39"/>
        <v>356</v>
      </c>
      <c r="F119" s="189">
        <f t="shared" si="39"/>
        <v>454</v>
      </c>
      <c r="G119" s="189">
        <f t="shared" si="39"/>
        <v>364</v>
      </c>
      <c r="H119" s="189">
        <f t="shared" si="39"/>
        <v>168</v>
      </c>
      <c r="I119" s="189">
        <f t="shared" si="39"/>
        <v>48</v>
      </c>
      <c r="J119" s="189">
        <f>SUM(C119:I119)</f>
        <v>1565</v>
      </c>
      <c r="M119" s="36"/>
      <c r="N119" s="37"/>
      <c r="O119" s="37"/>
      <c r="P119" s="36"/>
    </row>
    <row r="120" spans="1:17" s="96" customFormat="1" ht="133" customHeight="1">
      <c r="G120" s="97"/>
    </row>
    <row r="121" spans="1:17" s="96" customFormat="1" ht="27.5">
      <c r="G121" s="97"/>
    </row>
    <row r="122" spans="1:17" s="96" customFormat="1" ht="27.5">
      <c r="G122" s="97"/>
    </row>
    <row r="123" spans="1:17" s="96" customFormat="1" ht="27.5">
      <c r="G123" s="97"/>
    </row>
    <row r="124" spans="1:17" s="96" customFormat="1" ht="27.5">
      <c r="G124" s="97"/>
    </row>
    <row r="125" spans="1:17" s="96" customFormat="1" ht="27.5">
      <c r="G125" s="97"/>
    </row>
    <row r="126" spans="1:17" s="96" customFormat="1" ht="27.5">
      <c r="G126" s="97"/>
    </row>
    <row r="127" spans="1:17" s="96" customFormat="1" ht="27.5">
      <c r="G127" s="97"/>
    </row>
    <row r="128" spans="1:1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  <row r="135" spans="7:7" s="96" customFormat="1" ht="27.5">
      <c r="G135" s="97"/>
    </row>
    <row r="136" spans="7:7" s="96" customFormat="1" ht="27.5">
      <c r="G136" s="97"/>
    </row>
    <row r="137" spans="7:7" s="96" customFormat="1" ht="27.5">
      <c r="G137" s="97"/>
    </row>
    <row r="138" spans="7:7" s="96" customFormat="1" ht="27.5">
      <c r="G138" s="97"/>
    </row>
    <row r="139" spans="7:7" s="96" customFormat="1" ht="27.5">
      <c r="G139" s="97"/>
    </row>
    <row r="140" spans="7:7" s="96" customFormat="1" ht="27.5">
      <c r="G140" s="97"/>
    </row>
    <row r="141" spans="7:7" s="96" customFormat="1" ht="27.5">
      <c r="G141" s="97"/>
    </row>
  </sheetData>
  <autoFilter ref="A55:S81" xr:uid="{0A118794-3FBF-4B3B-B067-E344D76F2533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68">
    <mergeCell ref="B114:E114"/>
    <mergeCell ref="G30:M30"/>
    <mergeCell ref="B104:I104"/>
    <mergeCell ref="B105:C105"/>
    <mergeCell ref="B106:C106"/>
    <mergeCell ref="B109:C109"/>
    <mergeCell ref="D109:I109"/>
    <mergeCell ref="B110:C110"/>
    <mergeCell ref="D110:I112"/>
    <mergeCell ref="B111:C111"/>
    <mergeCell ref="B112:C112"/>
    <mergeCell ref="B100:C100"/>
    <mergeCell ref="D100:I100"/>
    <mergeCell ref="B101:C101"/>
    <mergeCell ref="D101:I101"/>
    <mergeCell ref="B102:C102"/>
    <mergeCell ref="D102:I102"/>
    <mergeCell ref="C96:F96"/>
    <mergeCell ref="B97:I97"/>
    <mergeCell ref="B98:C98"/>
    <mergeCell ref="D98:I98"/>
    <mergeCell ref="B99:C99"/>
    <mergeCell ref="D99:I99"/>
    <mergeCell ref="B90:C90"/>
    <mergeCell ref="D90:I90"/>
    <mergeCell ref="B92:I92"/>
    <mergeCell ref="B93:C93"/>
    <mergeCell ref="B94:C94"/>
    <mergeCell ref="D94:I94"/>
    <mergeCell ref="B87:C87"/>
    <mergeCell ref="D87:I87"/>
    <mergeCell ref="B88:C88"/>
    <mergeCell ref="D88:I88"/>
    <mergeCell ref="B89:C89"/>
    <mergeCell ref="D89:I89"/>
    <mergeCell ref="J83:N83"/>
    <mergeCell ref="B85:I85"/>
    <mergeCell ref="B86:C86"/>
    <mergeCell ref="D86:I86"/>
    <mergeCell ref="B80:E80"/>
    <mergeCell ref="H80:I80"/>
    <mergeCell ref="P80:Q80"/>
    <mergeCell ref="B81:E81"/>
    <mergeCell ref="H81:I81"/>
    <mergeCell ref="P81:Q81"/>
    <mergeCell ref="B79:E79"/>
    <mergeCell ref="H79:I79"/>
    <mergeCell ref="P79:Q79"/>
    <mergeCell ref="P76:Q77"/>
    <mergeCell ref="B77:E77"/>
    <mergeCell ref="H77:I77"/>
    <mergeCell ref="B78:E78"/>
    <mergeCell ref="H78:I78"/>
    <mergeCell ref="P78:Q78"/>
    <mergeCell ref="B76:E76"/>
    <mergeCell ref="F76:F77"/>
    <mergeCell ref="G76:G77"/>
    <mergeCell ref="H76:I76"/>
    <mergeCell ref="B74:E74"/>
    <mergeCell ref="F74:F75"/>
    <mergeCell ref="G74:G75"/>
    <mergeCell ref="H74:I74"/>
    <mergeCell ref="P74:Q75"/>
    <mergeCell ref="B75:E75"/>
    <mergeCell ref="H75:I75"/>
    <mergeCell ref="B72:E72"/>
    <mergeCell ref="H72:I72"/>
    <mergeCell ref="P72:Q72"/>
    <mergeCell ref="B73:E73"/>
    <mergeCell ref="H73:I73"/>
    <mergeCell ref="P73:Q73"/>
    <mergeCell ref="B70:E70"/>
    <mergeCell ref="G70:G71"/>
    <mergeCell ref="H70:I70"/>
    <mergeCell ref="P70:Q71"/>
    <mergeCell ref="B71:E71"/>
    <mergeCell ref="H71:I71"/>
    <mergeCell ref="P67:Q67"/>
    <mergeCell ref="B68:E68"/>
    <mergeCell ref="F68:F69"/>
    <mergeCell ref="G68:G69"/>
    <mergeCell ref="H68:I68"/>
    <mergeCell ref="P68:Q69"/>
    <mergeCell ref="B69:E69"/>
    <mergeCell ref="H69:I69"/>
    <mergeCell ref="B65:E65"/>
    <mergeCell ref="H65:I65"/>
    <mergeCell ref="A67:E67"/>
    <mergeCell ref="H67:I67"/>
    <mergeCell ref="P62:Q63"/>
    <mergeCell ref="B63:E63"/>
    <mergeCell ref="H63:I63"/>
    <mergeCell ref="B64:E64"/>
    <mergeCell ref="F64:F65"/>
    <mergeCell ref="G64:G65"/>
    <mergeCell ref="H64:I64"/>
    <mergeCell ref="P64:Q65"/>
    <mergeCell ref="B61:E61"/>
    <mergeCell ref="H61:I61"/>
    <mergeCell ref="B62:E62"/>
    <mergeCell ref="F62:F63"/>
    <mergeCell ref="G62:G63"/>
    <mergeCell ref="H62:I62"/>
    <mergeCell ref="P58:Q59"/>
    <mergeCell ref="B59:E59"/>
    <mergeCell ref="H59:I59"/>
    <mergeCell ref="B60:E60"/>
    <mergeCell ref="F60:F61"/>
    <mergeCell ref="G60:G61"/>
    <mergeCell ref="H60:I60"/>
    <mergeCell ref="P60:Q61"/>
    <mergeCell ref="B58:E58"/>
    <mergeCell ref="F58:F59"/>
    <mergeCell ref="G58:G59"/>
    <mergeCell ref="H58:I58"/>
    <mergeCell ref="A55:E55"/>
    <mergeCell ref="H55:I55"/>
    <mergeCell ref="P55:Q55"/>
    <mergeCell ref="B56:E56"/>
    <mergeCell ref="H56:I56"/>
    <mergeCell ref="P56:Q57"/>
    <mergeCell ref="B57:E57"/>
    <mergeCell ref="H57:I57"/>
    <mergeCell ref="B51:C51"/>
    <mergeCell ref="N51:Q51"/>
    <mergeCell ref="B52:C52"/>
    <mergeCell ref="N52:Q52"/>
    <mergeCell ref="B53:C53"/>
    <mergeCell ref="N53:Q53"/>
    <mergeCell ref="B46:C46"/>
    <mergeCell ref="N46:Q46"/>
    <mergeCell ref="A48:C48"/>
    <mergeCell ref="N48:Q48"/>
    <mergeCell ref="A49:Q49"/>
    <mergeCell ref="B50:C50"/>
    <mergeCell ref="N50:Q50"/>
    <mergeCell ref="A42:Q42"/>
    <mergeCell ref="B43:C43"/>
    <mergeCell ref="N43:Q43"/>
    <mergeCell ref="B44:C44"/>
    <mergeCell ref="N44:Q44"/>
    <mergeCell ref="B45:C45"/>
    <mergeCell ref="N45:Q45"/>
    <mergeCell ref="N30:P31"/>
    <mergeCell ref="B32:F32"/>
    <mergeCell ref="B37:Q37"/>
    <mergeCell ref="B38:Q38"/>
    <mergeCell ref="B39:Q39"/>
    <mergeCell ref="A41:C41"/>
    <mergeCell ref="N41:Q41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6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D9" sqref="D9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4" t="s">
        <v>235</v>
      </c>
      <c r="C4" s="654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55"/>
      <c r="C5" s="655"/>
      <c r="D5" s="273"/>
      <c r="E5"/>
      <c r="F5" s="270"/>
      <c r="G5" s="270"/>
      <c r="H5"/>
    </row>
    <row r="6" spans="1:8" s="265" customFormat="1" ht="17.25" customHeight="1" thickBot="1">
      <c r="A6" s="270"/>
      <c r="B6" s="654" t="s">
        <v>236</v>
      </c>
      <c r="C6" s="65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56"/>
      <c r="C7" s="656"/>
      <c r="D7" s="273"/>
      <c r="E7"/>
      <c r="F7" s="275"/>
      <c r="G7" s="276"/>
      <c r="H7"/>
    </row>
    <row r="8" spans="1:8" s="265" customFormat="1" ht="17.25" customHeight="1" thickBot="1">
      <c r="A8" s="270"/>
      <c r="B8" s="654" t="s">
        <v>238</v>
      </c>
      <c r="C8" s="654"/>
      <c r="D8" s="274" t="s">
        <v>464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3" t="s">
        <v>242</v>
      </c>
      <c r="D10" s="653"/>
      <c r="E10" s="653"/>
      <c r="F10" s="653"/>
      <c r="G10" s="280" t="s">
        <v>243</v>
      </c>
      <c r="H10" s="280" t="s">
        <v>244</v>
      </c>
    </row>
    <row r="11" spans="1:8" s="265" customFormat="1" ht="106.9" customHeight="1" thickBot="1">
      <c r="A11" s="657">
        <v>1</v>
      </c>
      <c r="B11" s="282" t="s">
        <v>245</v>
      </c>
      <c r="C11" s="658" t="s">
        <v>253</v>
      </c>
      <c r="D11" s="658"/>
      <c r="E11" s="658"/>
      <c r="F11" s="658"/>
      <c r="G11" s="657"/>
      <c r="H11" s="281"/>
    </row>
    <row r="12" spans="1:8" s="265" customFormat="1" ht="106.9" customHeight="1" thickBot="1">
      <c r="A12" s="657"/>
      <c r="B12" s="282" t="s">
        <v>246</v>
      </c>
      <c r="C12" s="659" t="s">
        <v>782</v>
      </c>
      <c r="D12" s="659"/>
      <c r="E12" s="659"/>
      <c r="F12" s="659"/>
      <c r="G12" s="657"/>
      <c r="H12" s="281"/>
    </row>
    <row r="13" spans="1:8" s="265" customFormat="1" ht="106.9" customHeight="1" thickBot="1">
      <c r="A13" s="281">
        <v>2</v>
      </c>
      <c r="B13" s="282" t="s">
        <v>247</v>
      </c>
      <c r="C13" s="652" t="str">
        <f>'1. CUTTING DOCKET'!C101</f>
        <v>KHÔNG IN</v>
      </c>
      <c r="D13" s="652"/>
      <c r="E13" s="652"/>
      <c r="F13" s="65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2" t="str">
        <f>'1. CUTTING DOCKET'!C113</f>
        <v>KHÔNG THÊU</v>
      </c>
      <c r="D14" s="652"/>
      <c r="E14" s="652"/>
      <c r="F14" s="65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2" t="str">
        <f>'1. CUTTING DOCKET'!C125</f>
        <v xml:space="preserve">GARMENT WASH </v>
      </c>
      <c r="D15" s="652"/>
      <c r="E15" s="652"/>
      <c r="F15" s="65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2"/>
      <c r="D16" s="652"/>
      <c r="E16" s="652"/>
      <c r="F16" s="65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2" t="s">
        <v>251</v>
      </c>
      <c r="C18" s="662"/>
      <c r="D18" s="662"/>
      <c r="E18" s="283"/>
      <c r="F18" s="283"/>
      <c r="G18" s="662" t="s">
        <v>252</v>
      </c>
      <c r="H18" s="662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1" t="s">
        <v>738</v>
      </c>
      <c r="C37" s="661"/>
      <c r="D37" s="661"/>
      <c r="E37" s="661"/>
      <c r="F37" s="661"/>
      <c r="G37" s="661"/>
      <c r="H37" s="661"/>
      <c r="I37" s="661"/>
      <c r="J37" s="661"/>
      <c r="K37" s="661"/>
      <c r="L37" s="661"/>
      <c r="M37" s="661"/>
      <c r="N37" s="661"/>
      <c r="O37" s="661"/>
      <c r="P37" s="661"/>
      <c r="Q37" s="66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0" t="s">
        <v>769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771</v>
      </c>
      <c r="C44" s="286"/>
      <c r="D44" s="359" t="s">
        <v>770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772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771</v>
      </c>
      <c r="C50" s="286"/>
      <c r="D50" s="359" t="s">
        <v>770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771</v>
      </c>
      <c r="C54" s="286"/>
      <c r="D54" s="359" t="s">
        <v>770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767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D15-SHD130V3A2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HOODIE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DOCKET'!$E$50</f>
        <v>HEATHER GREY - BC06</v>
      </c>
      <c r="D6" s="144" t="str">
        <f>'1. CUTTING DOCKET'!$E$55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79" t="str">
        <f>'1. CUTTING DOCKET'!M11</f>
        <v>100%COTTON SEMI BRUSHED (20/1+20/1+10/2) washing_ 14GG _460GSM</v>
      </c>
      <c r="C7" s="680"/>
      <c r="D7" s="680"/>
      <c r="E7" s="681"/>
    </row>
    <row r="8" spans="1:12" s="77" customFormat="1" ht="409.6" customHeight="1">
      <c r="A8" s="145" t="str">
        <f>'1. CUTTING DOCKET'!D43</f>
        <v>VẢI CHÍNH</v>
      </c>
      <c r="B8" s="682"/>
      <c r="C8" s="683"/>
      <c r="D8" s="683"/>
      <c r="E8" s="684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79" t="e">
        <f>'1. CUTTING DOCKET'!#REF!</f>
        <v>#REF!</v>
      </c>
      <c r="C13" s="680"/>
      <c r="D13" s="681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82"/>
      <c r="C14" s="683"/>
      <c r="D14" s="683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DOCKET'!$F$61</f>
        <v>ASH - BC01</v>
      </c>
      <c r="C15" s="148" t="str">
        <f>'1. CUTTING DOCKET'!$F$62</f>
        <v>HEATHER GREY - BC06</v>
      </c>
      <c r="D15" s="148" t="str">
        <f>'1. CUTTING DOCKET'!$F$63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DOCKET'!$G$61</f>
        <v>WH1672</v>
      </c>
      <c r="C16" s="143" t="str">
        <f>'1. CUTTING DOCKET'!$G$62</f>
        <v>GY6995</v>
      </c>
      <c r="D16" s="143" t="str">
        <f>'1. CUTTING DOCKET'!$G$63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85" t="e">
        <f>'1. CUTTING DOCKET'!#REF!</f>
        <v>#REF!</v>
      </c>
      <c r="C17" s="686"/>
      <c r="D17" s="686"/>
      <c r="E17" s="687"/>
    </row>
    <row r="18" spans="1:5" s="77" customFormat="1" ht="90" customHeight="1">
      <c r="A18" s="144" t="str">
        <f>'1. CUTTING DOCKET'!B64</f>
        <v>NHÃN CHÍNH CHO ÁO</v>
      </c>
      <c r="B18" s="595" t="str">
        <f>'1. CUTTING DOCKET'!F64</f>
        <v>NỀN TRẮNG CHỮ ĐEN</v>
      </c>
      <c r="C18" s="596"/>
      <c r="D18" s="596"/>
      <c r="E18" s="597"/>
    </row>
    <row r="19" spans="1:5" s="77" customFormat="1" ht="409.6" customHeight="1">
      <c r="A19" s="149" t="s">
        <v>174</v>
      </c>
      <c r="B19" s="668"/>
      <c r="C19" s="669"/>
      <c r="D19" s="669"/>
      <c r="E19" s="669"/>
    </row>
    <row r="20" spans="1:5" s="77" customFormat="1" ht="79.5" customHeight="1">
      <c r="A20" s="144" t="str">
        <f>'1. CUTTING DOCKET'!B67</f>
        <v>NHÃN SIZE CHO ÁO</v>
      </c>
      <c r="B20" s="595" t="str">
        <f>'1. CUTTING DOCKET'!F67</f>
        <v>NỀN TRẮNG CHỮ ĐEN</v>
      </c>
      <c r="C20" s="596"/>
      <c r="D20" s="596"/>
      <c r="E20" s="597"/>
    </row>
    <row r="21" spans="1:5" s="77" customFormat="1" ht="346.5" customHeight="1">
      <c r="A21" s="145" t="s">
        <v>175</v>
      </c>
      <c r="B21" s="670"/>
      <c r="C21" s="671"/>
      <c r="D21" s="671"/>
      <c r="E21" s="672"/>
    </row>
    <row r="22" spans="1:5" s="77" customFormat="1" ht="35">
      <c r="A22" s="144" t="e">
        <f>'1. CUTTING DOCKET'!#REF!</f>
        <v>#REF!</v>
      </c>
      <c r="B22" s="595" t="e">
        <f>'1. CUTTING DOCKET'!#REF!</f>
        <v>#REF!</v>
      </c>
      <c r="C22" s="596"/>
      <c r="D22" s="596"/>
      <c r="E22" s="259"/>
    </row>
    <row r="23" spans="1:5" s="77" customFormat="1" ht="299.25" customHeight="1">
      <c r="A23" s="149" t="s">
        <v>176</v>
      </c>
      <c r="B23" s="673"/>
      <c r="C23" s="674"/>
      <c r="D23" s="674"/>
      <c r="E23" s="674"/>
    </row>
    <row r="24" spans="1:5" s="77" customFormat="1" ht="101.5" customHeight="1">
      <c r="A24" s="144" t="str">
        <f>'1. CUTTING DOCKET'!B73</f>
        <v>NHÃN THÀNH PHẦN 100% COTTON 1 LÁ</v>
      </c>
      <c r="B24" s="595" t="str">
        <f>'1. CUTTING DOCKET'!F73</f>
        <v>NỀN TRẮNG CHỮ ĐEN</v>
      </c>
      <c r="C24" s="596"/>
      <c r="D24" s="596"/>
      <c r="E24" s="259"/>
    </row>
    <row r="25" spans="1:5" s="77" customFormat="1" ht="362.25" customHeight="1">
      <c r="A25" s="149" t="s">
        <v>177</v>
      </c>
      <c r="B25" s="675" t="s">
        <v>185</v>
      </c>
      <c r="C25" s="676"/>
      <c r="D25" s="676"/>
      <c r="E25" s="260"/>
    </row>
    <row r="26" spans="1:5" s="77" customFormat="1" ht="109.5" customHeight="1">
      <c r="A26" s="144" t="s">
        <v>178</v>
      </c>
      <c r="B26" s="595" t="str">
        <f>'1. CUTTING DOCKET'!F78</f>
        <v>NỀN TRẮNG CHỮ ĐEN</v>
      </c>
      <c r="C26" s="596"/>
      <c r="D26" s="596"/>
      <c r="E26" s="261"/>
    </row>
    <row r="27" spans="1:5" s="77" customFormat="1" ht="282" customHeight="1">
      <c r="A27" s="149" t="s">
        <v>179</v>
      </c>
      <c r="B27" s="677" t="s">
        <v>180</v>
      </c>
      <c r="C27" s="678"/>
      <c r="D27" s="678"/>
      <c r="E27" s="678"/>
    </row>
    <row r="28" spans="1:5" s="77" customFormat="1" ht="93.65" customHeight="1">
      <c r="A28" s="144" t="e">
        <f>'1. CUTTING DOCKET'!#REF!</f>
        <v>#REF!</v>
      </c>
      <c r="B28" s="595" t="e">
        <f>'1. CUTTING DOCKET'!#REF!</f>
        <v>#REF!</v>
      </c>
      <c r="C28" s="596"/>
      <c r="D28" s="596"/>
      <c r="E28" s="261"/>
    </row>
    <row r="29" spans="1:5" s="77" customFormat="1" ht="273" customHeight="1">
      <c r="A29" s="145" t="s">
        <v>181</v>
      </c>
      <c r="B29" s="663"/>
      <c r="C29" s="664"/>
      <c r="D29" s="664"/>
      <c r="E29" s="664"/>
    </row>
    <row r="30" spans="1:5" s="77" customFormat="1" ht="95.25" customHeight="1">
      <c r="A30" s="144" t="str">
        <f>'1. CUTTING DOCKET'!B81</f>
        <v>POLYBAG REGULAR (XXS-M) BAO NHỎ 343MM x 406MM
POLYBAG LARGE (L-XXL) BAO LỚN 400MMx 500MM</v>
      </c>
      <c r="B30" s="595" t="str">
        <f>'1. CUTTING DOCKET'!F81</f>
        <v>CLEAR</v>
      </c>
      <c r="C30" s="596"/>
      <c r="D30" s="596"/>
      <c r="E30" s="261"/>
    </row>
    <row r="31" spans="1:5" s="77" customFormat="1" ht="324.75" customHeight="1">
      <c r="A31" s="145"/>
      <c r="B31" s="663"/>
      <c r="C31" s="664"/>
      <c r="D31" s="664"/>
      <c r="E31" s="664"/>
    </row>
    <row r="32" spans="1:5" s="77" customFormat="1" ht="119.5" customHeight="1">
      <c r="A32" s="144" t="s">
        <v>182</v>
      </c>
      <c r="B32" s="595" t="str">
        <f>'1. CUTTING DOCKET'!F84</f>
        <v>NATURAL</v>
      </c>
      <c r="C32" s="596"/>
      <c r="D32" s="596"/>
      <c r="E32" s="261"/>
    </row>
    <row r="33" spans="1:9" s="77" customFormat="1" ht="287.25" customHeight="1">
      <c r="A33" s="145" t="s">
        <v>183</v>
      </c>
      <c r="B33" s="663"/>
      <c r="C33" s="664"/>
      <c r="D33" s="664"/>
      <c r="E33" s="664"/>
    </row>
    <row r="34" spans="1:9" s="77" customFormat="1" ht="71.5" customHeight="1">
      <c r="A34" s="144" t="s">
        <v>108</v>
      </c>
      <c r="B34" s="595" t="s">
        <v>109</v>
      </c>
      <c r="C34" s="596"/>
      <c r="D34" s="596"/>
      <c r="E34" s="261"/>
    </row>
    <row r="35" spans="1:9" s="77" customFormat="1" ht="87" customHeight="1">
      <c r="A35" s="145" t="s">
        <v>184</v>
      </c>
      <c r="B35" s="663"/>
      <c r="C35" s="664"/>
      <c r="D35" s="664"/>
      <c r="E35" s="664"/>
    </row>
    <row r="36" spans="1:9" s="77" customFormat="1" ht="63.65" customHeight="1">
      <c r="A36" s="144" t="s">
        <v>110</v>
      </c>
      <c r="B36" s="595" t="s">
        <v>103</v>
      </c>
      <c r="C36" s="596"/>
      <c r="D36" s="596"/>
      <c r="E36" s="261"/>
    </row>
    <row r="37" spans="1:9" s="77" customFormat="1" ht="97.5" customHeight="1">
      <c r="A37" s="145" t="s">
        <v>184</v>
      </c>
      <c r="B37" s="663"/>
      <c r="C37" s="664"/>
      <c r="D37" s="664"/>
      <c r="E37" s="664"/>
    </row>
    <row r="38" spans="1:9" s="77" customFormat="1" ht="97.5" customHeight="1">
      <c r="A38" s="262" t="e">
        <f>'1. CUTTING DOCKET'!#REF!</f>
        <v>#REF!</v>
      </c>
      <c r="B38" s="665" t="e">
        <f>'1. CUTTING DOCKET'!#REF!</f>
        <v>#REF!</v>
      </c>
      <c r="C38" s="666"/>
      <c r="D38" s="667"/>
      <c r="E38" s="263"/>
    </row>
    <row r="39" spans="1:9" s="77" customFormat="1" ht="221.5" customHeight="1">
      <c r="A39" s="145"/>
      <c r="B39" s="593"/>
      <c r="C39" s="593"/>
      <c r="D39" s="593"/>
      <c r="E39" s="593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88" t="s">
        <v>188</v>
      </c>
      <c r="E1" s="688"/>
      <c r="F1" s="68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9" t="s">
        <v>191</v>
      </c>
      <c r="E2" s="689"/>
      <c r="F2" s="689"/>
      <c r="G2" s="689"/>
      <c r="H2" s="689"/>
      <c r="I2" s="69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8"/>
  <sheetViews>
    <sheetView view="pageBreakPreview" topLeftCell="A50" zoomScale="50" zoomScaleNormal="10" zoomScaleSheetLayoutView="50" zoomScalePageLayoutView="25" workbookViewId="0">
      <selection activeCell="G32" sqref="G32:M32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1" t="s">
        <v>0</v>
      </c>
      <c r="O1" s="451" t="s">
        <v>0</v>
      </c>
      <c r="P1" s="452" t="s">
        <v>1</v>
      </c>
      <c r="Q1" s="45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1" t="s">
        <v>2</v>
      </c>
      <c r="O2" s="451" t="s">
        <v>2</v>
      </c>
      <c r="P2" s="453" t="s">
        <v>3</v>
      </c>
      <c r="Q2" s="45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1" t="s">
        <v>4</v>
      </c>
      <c r="O3" s="451" t="s">
        <v>4</v>
      </c>
      <c r="P3" s="454" t="s">
        <v>5</v>
      </c>
      <c r="Q3" s="45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6" t="s">
        <v>960</v>
      </c>
      <c r="H5" s="437"/>
      <c r="I5" s="437"/>
      <c r="J5" s="437"/>
      <c r="K5" s="437"/>
      <c r="L5" s="437"/>
      <c r="M5" s="43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9"/>
      <c r="H6" s="440"/>
      <c r="I6" s="440"/>
      <c r="J6" s="440"/>
      <c r="K6" s="440"/>
      <c r="L6" s="440"/>
      <c r="M6" s="44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490</v>
      </c>
      <c r="E7" s="12"/>
      <c r="F7" s="11"/>
      <c r="G7" s="439"/>
      <c r="H7" s="440"/>
      <c r="I7" s="440"/>
      <c r="J7" s="440"/>
      <c r="K7" s="440"/>
      <c r="L7" s="440"/>
      <c r="M7" s="44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5" t="s">
        <v>779</v>
      </c>
      <c r="E8" s="445"/>
      <c r="F8" s="445"/>
      <c r="G8" s="442"/>
      <c r="H8" s="443"/>
      <c r="I8" s="443"/>
      <c r="J8" s="443"/>
      <c r="K8" s="443"/>
      <c r="L8" s="443"/>
      <c r="M8" s="44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783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6">
        <v>45462</v>
      </c>
      <c r="E11" s="447"/>
      <c r="F11" s="447"/>
      <c r="G11" s="241"/>
      <c r="H11" s="240"/>
      <c r="I11" s="186"/>
      <c r="J11" s="238" t="s">
        <v>20</v>
      </c>
      <c r="K11" s="186"/>
      <c r="L11" s="186"/>
      <c r="M11" s="448" t="s">
        <v>730</v>
      </c>
      <c r="N11" s="448"/>
      <c r="O11" s="448"/>
      <c r="P11" s="448"/>
      <c r="Q11" s="44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9"/>
      <c r="C13" s="449"/>
      <c r="D13" s="449"/>
      <c r="E13" s="449"/>
      <c r="F13" s="44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0" t="s">
        <v>935</v>
      </c>
      <c r="O17" s="450"/>
      <c r="P17" s="450"/>
      <c r="Q17" s="333" t="s">
        <v>40</v>
      </c>
    </row>
    <row r="18" spans="2:17" s="204" customFormat="1" ht="65">
      <c r="B18" s="330" t="s">
        <v>41</v>
      </c>
      <c r="C18" s="331" t="s">
        <v>491</v>
      </c>
      <c r="D18" s="205" t="s">
        <v>940</v>
      </c>
      <c r="E18" s="206"/>
      <c r="F18" s="207"/>
      <c r="G18" s="207">
        <v>21</v>
      </c>
      <c r="H18" s="207">
        <v>69</v>
      </c>
      <c r="I18" s="207">
        <v>179</v>
      </c>
      <c r="J18" s="207">
        <v>231</v>
      </c>
      <c r="K18" s="207">
        <v>184</v>
      </c>
      <c r="L18" s="207">
        <v>86</v>
      </c>
      <c r="M18" s="207">
        <v>25</v>
      </c>
      <c r="N18" s="461" t="s">
        <v>936</v>
      </c>
      <c r="O18" s="461"/>
      <c r="P18" s="461"/>
      <c r="Q18" s="208">
        <f>SUM(E18:P18)</f>
        <v>795</v>
      </c>
    </row>
    <row r="19" spans="2:17" s="204" customFormat="1" ht="65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>
        <f>ROUNDUP(G18*2%,0)</f>
        <v>1</v>
      </c>
      <c r="H19" s="209">
        <f t="shared" ref="H19:M19" si="0">ROUNDUP(H18*2%,0)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61"/>
      <c r="O19" s="461"/>
      <c r="P19" s="461"/>
      <c r="Q19" s="208">
        <f>SUM(E19:P19)</f>
        <v>19</v>
      </c>
    </row>
    <row r="20" spans="2:17" s="215" customFormat="1" ht="149.25" customHeight="1">
      <c r="B20" s="456" t="s">
        <v>961</v>
      </c>
      <c r="C20" s="456"/>
      <c r="D20" s="456"/>
      <c r="E20" s="456"/>
      <c r="F20" s="456"/>
      <c r="G20" s="233">
        <v>2</v>
      </c>
      <c r="H20" s="233">
        <v>4</v>
      </c>
      <c r="I20" s="233">
        <v>6</v>
      </c>
      <c r="J20" s="233">
        <v>10</v>
      </c>
      <c r="K20" s="233">
        <v>7</v>
      </c>
      <c r="L20" s="233">
        <v>5</v>
      </c>
      <c r="M20" s="233">
        <v>2</v>
      </c>
      <c r="N20" s="234"/>
      <c r="O20" s="234"/>
      <c r="P20" s="234"/>
      <c r="Q20" s="235">
        <f>SUM(G20:P20)</f>
        <v>36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20</v>
      </c>
      <c r="H21" s="214">
        <f t="shared" ref="H21:M21" si="1">SUM(H18:H19)-H20</f>
        <v>67</v>
      </c>
      <c r="I21" s="214">
        <f t="shared" si="1"/>
        <v>177</v>
      </c>
      <c r="J21" s="214">
        <f t="shared" si="1"/>
        <v>226</v>
      </c>
      <c r="K21" s="214">
        <f t="shared" si="1"/>
        <v>181</v>
      </c>
      <c r="L21" s="214">
        <f t="shared" si="1"/>
        <v>83</v>
      </c>
      <c r="M21" s="214">
        <f t="shared" si="1"/>
        <v>24</v>
      </c>
      <c r="N21" s="334"/>
      <c r="O21" s="334"/>
      <c r="P21" s="334"/>
      <c r="Q21" s="214">
        <f t="shared" ref="Q21" si="2">SUM(Q18:Q19)-Q20</f>
        <v>778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0" t="s">
        <v>935</v>
      </c>
      <c r="O23" s="450"/>
      <c r="P23" s="450"/>
      <c r="Q23" s="333" t="s">
        <v>40</v>
      </c>
    </row>
    <row r="24" spans="2:17" s="204" customFormat="1" ht="65">
      <c r="B24" s="330" t="s">
        <v>41</v>
      </c>
      <c r="C24" s="331" t="s">
        <v>499</v>
      </c>
      <c r="D24" s="205" t="s">
        <v>941</v>
      </c>
      <c r="E24" s="206"/>
      <c r="F24" s="207"/>
      <c r="G24" s="207">
        <v>20</v>
      </c>
      <c r="H24" s="207">
        <v>69</v>
      </c>
      <c r="I24" s="207">
        <v>179</v>
      </c>
      <c r="J24" s="207">
        <v>231</v>
      </c>
      <c r="K24" s="207">
        <v>184</v>
      </c>
      <c r="L24" s="207">
        <v>86</v>
      </c>
      <c r="M24" s="207">
        <v>25</v>
      </c>
      <c r="N24" s="455" t="s">
        <v>937</v>
      </c>
      <c r="O24" s="455"/>
      <c r="P24" s="455"/>
      <c r="Q24" s="208">
        <f>SUM(E24:P24)</f>
        <v>794</v>
      </c>
    </row>
    <row r="25" spans="2:17" s="204" customFormat="1" ht="65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>
        <f>ROUNDUP(G24*2%,0)</f>
        <v>1</v>
      </c>
      <c r="H25" s="209">
        <f t="shared" ref="H25:M25" si="3">ROUNDUP(H24*2%,0)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455"/>
      <c r="O25" s="455"/>
      <c r="P25" s="455"/>
      <c r="Q25" s="208">
        <f>SUM(E25:P25)</f>
        <v>19</v>
      </c>
    </row>
    <row r="26" spans="2:17" s="215" customFormat="1" ht="149.25" customHeight="1">
      <c r="B26" s="456" t="s">
        <v>961</v>
      </c>
      <c r="C26" s="456"/>
      <c r="D26" s="456"/>
      <c r="E26" s="456"/>
      <c r="F26" s="456"/>
      <c r="G26" s="233">
        <v>2</v>
      </c>
      <c r="H26" s="233">
        <v>4</v>
      </c>
      <c r="I26" s="233">
        <v>6</v>
      </c>
      <c r="J26" s="233">
        <v>10</v>
      </c>
      <c r="K26" s="233">
        <v>7</v>
      </c>
      <c r="L26" s="233">
        <v>5</v>
      </c>
      <c r="M26" s="233">
        <v>2</v>
      </c>
      <c r="N26" s="234"/>
      <c r="O26" s="234"/>
      <c r="P26" s="234"/>
      <c r="Q26" s="235">
        <f>SUM(G26:P26)</f>
        <v>36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19</v>
      </c>
      <c r="H27" s="214">
        <f t="shared" ref="H27:M27" si="4">SUM(H24:H25)-H26</f>
        <v>67</v>
      </c>
      <c r="I27" s="214">
        <f t="shared" si="4"/>
        <v>177</v>
      </c>
      <c r="J27" s="214">
        <f t="shared" si="4"/>
        <v>226</v>
      </c>
      <c r="K27" s="214">
        <f t="shared" si="4"/>
        <v>181</v>
      </c>
      <c r="L27" s="214">
        <f t="shared" si="4"/>
        <v>83</v>
      </c>
      <c r="M27" s="214">
        <f t="shared" si="4"/>
        <v>24</v>
      </c>
      <c r="N27" s="334"/>
      <c r="O27" s="334"/>
      <c r="P27" s="334"/>
      <c r="Q27" s="214">
        <f t="shared" ref="Q27" si="5">SUM(Q24:Q25)-Q26</f>
        <v>777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0" t="s">
        <v>935</v>
      </c>
      <c r="O29" s="450"/>
      <c r="P29" s="450"/>
      <c r="Q29" s="333" t="s">
        <v>40</v>
      </c>
    </row>
    <row r="30" spans="2:17" s="204" customFormat="1" ht="65">
      <c r="B30" s="330" t="s">
        <v>41</v>
      </c>
      <c r="C30" s="331" t="s">
        <v>507</v>
      </c>
      <c r="D30" s="205" t="s">
        <v>942</v>
      </c>
      <c r="E30" s="206"/>
      <c r="F30" s="207"/>
      <c r="G30" s="207">
        <v>20</v>
      </c>
      <c r="H30" s="207">
        <v>69</v>
      </c>
      <c r="I30" s="207">
        <v>179</v>
      </c>
      <c r="J30" s="207">
        <v>231</v>
      </c>
      <c r="K30" s="207">
        <v>184</v>
      </c>
      <c r="L30" s="207">
        <v>86</v>
      </c>
      <c r="M30" s="207">
        <v>25</v>
      </c>
      <c r="N30" s="455" t="s">
        <v>938</v>
      </c>
      <c r="O30" s="455"/>
      <c r="P30" s="455"/>
      <c r="Q30" s="208">
        <f>SUM(E30:P30)</f>
        <v>794</v>
      </c>
    </row>
    <row r="31" spans="2:17" s="204" customFormat="1" ht="65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>
        <f>ROUNDUP(G30*2%,0)</f>
        <v>1</v>
      </c>
      <c r="H31" s="209">
        <f t="shared" ref="H31:M31" si="6">ROUNDUP(H30*2%,0)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455"/>
      <c r="O31" s="455"/>
      <c r="P31" s="455"/>
      <c r="Q31" s="208">
        <f>SUM(E31:P31)</f>
        <v>19</v>
      </c>
    </row>
    <row r="32" spans="2:17" s="215" customFormat="1" ht="149.25" customHeight="1">
      <c r="B32" s="456" t="s">
        <v>961</v>
      </c>
      <c r="C32" s="456"/>
      <c r="D32" s="456"/>
      <c r="E32" s="456"/>
      <c r="F32" s="456"/>
      <c r="G32" s="233">
        <v>2</v>
      </c>
      <c r="H32" s="233">
        <v>4</v>
      </c>
      <c r="I32" s="233">
        <v>6</v>
      </c>
      <c r="J32" s="233">
        <v>10</v>
      </c>
      <c r="K32" s="233">
        <v>7</v>
      </c>
      <c r="L32" s="233">
        <v>5</v>
      </c>
      <c r="M32" s="233">
        <v>2</v>
      </c>
      <c r="N32" s="234"/>
      <c r="O32" s="234"/>
      <c r="P32" s="234"/>
      <c r="Q32" s="235">
        <f>SUM(G32:P32)</f>
        <v>36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19</v>
      </c>
      <c r="H33" s="214">
        <f t="shared" ref="H33:M33" si="7">SUM(H30:H31)-H32</f>
        <v>67</v>
      </c>
      <c r="I33" s="214">
        <f t="shared" si="7"/>
        <v>177</v>
      </c>
      <c r="J33" s="214">
        <f t="shared" si="7"/>
        <v>226</v>
      </c>
      <c r="K33" s="214">
        <f t="shared" si="7"/>
        <v>181</v>
      </c>
      <c r="L33" s="214">
        <f t="shared" si="7"/>
        <v>83</v>
      </c>
      <c r="M33" s="214">
        <f t="shared" si="7"/>
        <v>24</v>
      </c>
      <c r="N33" s="334"/>
      <c r="O33" s="334"/>
      <c r="P33" s="334"/>
      <c r="Q33" s="214">
        <f t="shared" ref="Q33" si="8">SUM(Q30:Q31)-Q32</f>
        <v>777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58</v>
      </c>
      <c r="H35" s="228">
        <f t="shared" ref="H35:M35" si="9">H21++H33+H27</f>
        <v>201</v>
      </c>
      <c r="I35" s="228">
        <f t="shared" si="9"/>
        <v>531</v>
      </c>
      <c r="J35" s="228">
        <f t="shared" si="9"/>
        <v>678</v>
      </c>
      <c r="K35" s="228">
        <f t="shared" si="9"/>
        <v>543</v>
      </c>
      <c r="L35" s="228">
        <f t="shared" si="9"/>
        <v>249</v>
      </c>
      <c r="M35" s="228">
        <f t="shared" si="9"/>
        <v>72</v>
      </c>
      <c r="N35" s="228"/>
      <c r="O35" s="228"/>
      <c r="P35" s="228"/>
      <c r="Q35" s="228">
        <f>Q21++Q33+Q27</f>
        <v>2332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7" t="s">
        <v>962</v>
      </c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</row>
    <row r="38" spans="1:19" s="99" customFormat="1" ht="72.75" hidden="1" customHeight="1">
      <c r="B38" s="457" t="s">
        <v>743</v>
      </c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</row>
    <row r="39" spans="1:19" s="99" customFormat="1" ht="72.75" hidden="1" customHeight="1">
      <c r="B39" s="458" t="s">
        <v>769</v>
      </c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9" t="s">
        <v>52</v>
      </c>
      <c r="B41" s="459"/>
      <c r="C41" s="45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0" t="s">
        <v>63</v>
      </c>
      <c r="O41" s="460"/>
      <c r="P41" s="460"/>
      <c r="Q41" s="460"/>
    </row>
    <row r="42" spans="1:19" s="34" customFormat="1" ht="45.75" customHeight="1">
      <c r="A42" s="464" t="str">
        <f>UPPER(D21)</f>
        <v>DOVE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</row>
    <row r="43" spans="1:19" s="128" customFormat="1" ht="138" customHeight="1">
      <c r="A43" s="129">
        <v>1</v>
      </c>
      <c r="B43" s="465" t="str">
        <f>$M$11</f>
        <v>100%COTTON SEMI BRUSHED (20/1+20/1+10/2) washing_ 14GG _460GSM</v>
      </c>
      <c r="C43" s="465"/>
      <c r="D43" s="195" t="s">
        <v>64</v>
      </c>
      <c r="E43" s="195" t="str">
        <f>$N$18</f>
        <v>ASH - BC01</v>
      </c>
      <c r="F43" s="129" t="s">
        <v>36</v>
      </c>
      <c r="G43" s="196">
        <f>$Q$21</f>
        <v>778</v>
      </c>
      <c r="H43" s="357">
        <v>1.75</v>
      </c>
      <c r="I43" s="179">
        <f>H43*G43</f>
        <v>1361.5</v>
      </c>
      <c r="J43" s="188">
        <f>I43*3.5%+(I43/50)*0.5</f>
        <v>61.267500000000005</v>
      </c>
      <c r="K43" s="188">
        <v>0</v>
      </c>
      <c r="L43" s="188">
        <v>0</v>
      </c>
      <c r="M43" s="338">
        <f>ROUND(I43+J43,0)</f>
        <v>1423</v>
      </c>
      <c r="N43" s="463" t="s">
        <v>943</v>
      </c>
      <c r="O43" s="463"/>
      <c r="P43" s="463"/>
      <c r="Q43" s="463"/>
      <c r="S43" s="356" t="s">
        <v>933</v>
      </c>
    </row>
    <row r="44" spans="1:19" s="128" customFormat="1" ht="93" customHeight="1">
      <c r="A44" s="129">
        <v>2</v>
      </c>
      <c r="B44" s="465" t="s">
        <v>771</v>
      </c>
      <c r="C44" s="465"/>
      <c r="D44" s="195" t="s">
        <v>780</v>
      </c>
      <c r="E44" s="195" t="str">
        <f t="shared" ref="E44:E45" si="10">$N$18</f>
        <v>ASH - BC01</v>
      </c>
      <c r="F44" s="129" t="s">
        <v>36</v>
      </c>
      <c r="G44" s="196">
        <f>$Q$21</f>
        <v>778</v>
      </c>
      <c r="H44" s="357">
        <v>0.23</v>
      </c>
      <c r="I44" s="179">
        <f>H44*G44</f>
        <v>178.94</v>
      </c>
      <c r="J44" s="188">
        <f>I44*2.3%+(I44/50)*0.5+1</f>
        <v>6.9050199999999995</v>
      </c>
      <c r="K44" s="188">
        <v>0</v>
      </c>
      <c r="L44" s="188">
        <v>0</v>
      </c>
      <c r="M44" s="338">
        <f>ROUND(I44+J44,0)</f>
        <v>186</v>
      </c>
      <c r="N44" s="463" t="s">
        <v>944</v>
      </c>
      <c r="O44" s="463"/>
      <c r="P44" s="463"/>
      <c r="Q44" s="463"/>
      <c r="S44" s="356" t="s">
        <v>768</v>
      </c>
    </row>
    <row r="45" spans="1:19" s="128" customFormat="1" ht="82.5" customHeight="1">
      <c r="A45" s="355">
        <v>3</v>
      </c>
      <c r="B45" s="462" t="s">
        <v>928</v>
      </c>
      <c r="C45" s="462"/>
      <c r="D45" s="423" t="s">
        <v>929</v>
      </c>
      <c r="E45" s="195" t="str">
        <f t="shared" si="10"/>
        <v>ASH - BC01</v>
      </c>
      <c r="F45" s="355" t="s">
        <v>36</v>
      </c>
      <c r="G45" s="424">
        <f>$Q$21</f>
        <v>778</v>
      </c>
      <c r="H45" s="425">
        <v>0.01</v>
      </c>
      <c r="I45" s="426">
        <f>H45*G45</f>
        <v>7.78</v>
      </c>
      <c r="J45" s="427">
        <f>I45*2.3%+(I45/50)*0.5+1</f>
        <v>1.25674</v>
      </c>
      <c r="K45" s="427">
        <v>0</v>
      </c>
      <c r="L45" s="427">
        <v>0</v>
      </c>
      <c r="M45" s="428">
        <f>ROUND(I45+J45,0)</f>
        <v>9</v>
      </c>
      <c r="N45" s="549" t="s">
        <v>945</v>
      </c>
      <c r="O45" s="549"/>
      <c r="P45" s="549"/>
      <c r="Q45" s="549"/>
      <c r="S45" s="356"/>
    </row>
    <row r="46" spans="1:19" s="128" customFormat="1" ht="64.5" customHeight="1">
      <c r="A46" s="355">
        <v>4</v>
      </c>
      <c r="B46" s="462" t="s">
        <v>930</v>
      </c>
      <c r="C46" s="462"/>
      <c r="D46" s="423" t="s">
        <v>931</v>
      </c>
      <c r="E46" s="423" t="s">
        <v>109</v>
      </c>
      <c r="F46" s="355" t="s">
        <v>36</v>
      </c>
      <c r="G46" s="424">
        <f>$Q$21</f>
        <v>778</v>
      </c>
      <c r="H46" s="425">
        <v>0.03</v>
      </c>
      <c r="I46" s="426">
        <f>H46*G46</f>
        <v>23.34</v>
      </c>
      <c r="J46" s="427">
        <f>I46*2.3%+(I46/50)*0.5+1</f>
        <v>1.7702199999999999</v>
      </c>
      <c r="K46" s="427">
        <v>0</v>
      </c>
      <c r="L46" s="427">
        <v>0</v>
      </c>
      <c r="M46" s="428">
        <f>ROUND(I46+J46,0)</f>
        <v>25</v>
      </c>
      <c r="N46" s="463" t="s">
        <v>932</v>
      </c>
      <c r="O46" s="463"/>
      <c r="P46" s="463"/>
      <c r="Q46" s="463"/>
      <c r="S46" s="356"/>
    </row>
    <row r="47" spans="1:19" s="4" customFormat="1" ht="59.15" customHeight="1">
      <c r="B47" s="87" t="s">
        <v>51</v>
      </c>
      <c r="C47" s="24"/>
      <c r="D47" s="343" t="s">
        <v>734</v>
      </c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</row>
    <row r="48" spans="1:19" s="25" customFormat="1" ht="120">
      <c r="A48" s="459" t="s">
        <v>52</v>
      </c>
      <c r="B48" s="459"/>
      <c r="C48" s="459"/>
      <c r="D48" s="191" t="s">
        <v>53</v>
      </c>
      <c r="E48" s="191" t="s">
        <v>54</v>
      </c>
      <c r="F48" s="191" t="s">
        <v>55</v>
      </c>
      <c r="G48" s="190" t="s">
        <v>56</v>
      </c>
      <c r="H48" s="190" t="s">
        <v>57</v>
      </c>
      <c r="I48" s="190" t="s">
        <v>58</v>
      </c>
      <c r="J48" s="190" t="s">
        <v>59</v>
      </c>
      <c r="K48" s="190" t="s">
        <v>60</v>
      </c>
      <c r="L48" s="190" t="s">
        <v>61</v>
      </c>
      <c r="M48" s="190" t="s">
        <v>62</v>
      </c>
      <c r="N48" s="460" t="s">
        <v>63</v>
      </c>
      <c r="O48" s="460"/>
      <c r="P48" s="460"/>
      <c r="Q48" s="460"/>
    </row>
    <row r="49" spans="1:19" s="34" customFormat="1" ht="51.75" customHeight="1">
      <c r="A49" s="464" t="str">
        <f>UPPER(D27)</f>
        <v>HEATHER GREY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</row>
    <row r="50" spans="1:19" s="128" customFormat="1" ht="156" customHeight="1">
      <c r="A50" s="129">
        <v>1</v>
      </c>
      <c r="B50" s="465" t="str">
        <f>$M$11</f>
        <v>100%COTTON SEMI BRUSHED (20/1+20/1+10/2) washing_ 14GG _460GSM</v>
      </c>
      <c r="C50" s="465"/>
      <c r="D50" s="195" t="s">
        <v>64</v>
      </c>
      <c r="E50" s="195" t="str">
        <f>$N$24</f>
        <v>HEATHER GREY - BC06</v>
      </c>
      <c r="F50" s="129" t="s">
        <v>36</v>
      </c>
      <c r="G50" s="196">
        <f>$Q$27</f>
        <v>777</v>
      </c>
      <c r="H50" s="357">
        <v>1.75</v>
      </c>
      <c r="I50" s="179">
        <f>H50*G50</f>
        <v>1359.75</v>
      </c>
      <c r="J50" s="188">
        <f>I50*2.5%+(I50/50)*0.5+1</f>
        <v>48.591250000000002</v>
      </c>
      <c r="K50" s="188">
        <v>0</v>
      </c>
      <c r="L50" s="188">
        <v>0</v>
      </c>
      <c r="M50" s="338">
        <f>ROUND(I50+J50,0)</f>
        <v>1408</v>
      </c>
      <c r="N50" s="463" t="s">
        <v>946</v>
      </c>
      <c r="O50" s="463"/>
      <c r="P50" s="463"/>
      <c r="Q50" s="463"/>
      <c r="S50" s="356" t="s">
        <v>768</v>
      </c>
    </row>
    <row r="51" spans="1:19" s="128" customFormat="1" ht="91.5" customHeight="1">
      <c r="A51" s="129">
        <v>1</v>
      </c>
      <c r="B51" s="465" t="s">
        <v>771</v>
      </c>
      <c r="C51" s="465"/>
      <c r="D51" s="195" t="s">
        <v>780</v>
      </c>
      <c r="E51" s="195" t="str">
        <f t="shared" ref="E51:E52" si="11">$N$24</f>
        <v>HEATHER GREY - BC06</v>
      </c>
      <c r="F51" s="129" t="s">
        <v>36</v>
      </c>
      <c r="G51" s="196">
        <f>$Q$27</f>
        <v>777</v>
      </c>
      <c r="H51" s="357">
        <v>0.23</v>
      </c>
      <c r="I51" s="179">
        <f>H51*G51</f>
        <v>178.71</v>
      </c>
      <c r="J51" s="188">
        <f>I51*2.5%+(I51/50)*0.5+1</f>
        <v>7.2548500000000011</v>
      </c>
      <c r="K51" s="188">
        <v>0</v>
      </c>
      <c r="L51" s="188">
        <v>0</v>
      </c>
      <c r="M51" s="338">
        <f>ROUND(I51+J51,0)</f>
        <v>186</v>
      </c>
      <c r="N51" s="463" t="s">
        <v>947</v>
      </c>
      <c r="O51" s="463"/>
      <c r="P51" s="463"/>
      <c r="Q51" s="463"/>
      <c r="S51" s="356" t="s">
        <v>768</v>
      </c>
    </row>
    <row r="52" spans="1:19" s="128" customFormat="1" ht="82.5" customHeight="1">
      <c r="A52" s="355">
        <v>3</v>
      </c>
      <c r="B52" s="462" t="s">
        <v>928</v>
      </c>
      <c r="C52" s="462"/>
      <c r="D52" s="423" t="s">
        <v>929</v>
      </c>
      <c r="E52" s="195" t="str">
        <f t="shared" si="11"/>
        <v>HEATHER GREY - BC06</v>
      </c>
      <c r="F52" s="355" t="s">
        <v>36</v>
      </c>
      <c r="G52" s="424">
        <f>$Q$21</f>
        <v>778</v>
      </c>
      <c r="H52" s="425">
        <v>0.01</v>
      </c>
      <c r="I52" s="426">
        <f>H52*G52</f>
        <v>7.78</v>
      </c>
      <c r="J52" s="427">
        <f>I52*2.3%+(I52/50)*0.5+1</f>
        <v>1.25674</v>
      </c>
      <c r="K52" s="427">
        <v>0</v>
      </c>
      <c r="L52" s="427">
        <v>0</v>
      </c>
      <c r="M52" s="428">
        <f>ROUND(I52+J52,0)</f>
        <v>9</v>
      </c>
      <c r="N52" s="549" t="s">
        <v>959</v>
      </c>
      <c r="O52" s="549"/>
      <c r="P52" s="549"/>
      <c r="Q52" s="549"/>
      <c r="S52" s="356"/>
    </row>
    <row r="53" spans="1:19" s="128" customFormat="1" ht="60" customHeight="1">
      <c r="A53" s="355">
        <v>4</v>
      </c>
      <c r="B53" s="462" t="s">
        <v>930</v>
      </c>
      <c r="C53" s="462"/>
      <c r="D53" s="423" t="s">
        <v>931</v>
      </c>
      <c r="E53" s="423" t="s">
        <v>109</v>
      </c>
      <c r="F53" s="355" t="s">
        <v>36</v>
      </c>
      <c r="G53" s="424">
        <f>$Q$21</f>
        <v>778</v>
      </c>
      <c r="H53" s="425">
        <v>0.03</v>
      </c>
      <c r="I53" s="426">
        <f>H53*G53</f>
        <v>23.34</v>
      </c>
      <c r="J53" s="427">
        <f>I53*2.3%+(I53/50)*0.5+1</f>
        <v>1.7702199999999999</v>
      </c>
      <c r="K53" s="427">
        <v>0</v>
      </c>
      <c r="L53" s="427">
        <v>0</v>
      </c>
      <c r="M53" s="428">
        <f>ROUND(I53+J53,0)</f>
        <v>25</v>
      </c>
      <c r="N53" s="463" t="s">
        <v>932</v>
      </c>
      <c r="O53" s="463"/>
      <c r="P53" s="463"/>
      <c r="Q53" s="463"/>
      <c r="S53" s="356"/>
    </row>
    <row r="54" spans="1:19" s="34" customFormat="1" ht="51.75" customHeight="1">
      <c r="A54" s="464" t="str">
        <f>UPPER(D30)</f>
        <v>SANDSTONE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</row>
    <row r="55" spans="1:19" s="128" customFormat="1" ht="156" customHeight="1">
      <c r="A55" s="129">
        <v>1</v>
      </c>
      <c r="B55" s="465" t="str">
        <f>$M$11</f>
        <v>100%COTTON SEMI BRUSHED (20/1+20/1+10/2) washing_ 14GG _460GSM</v>
      </c>
      <c r="C55" s="465"/>
      <c r="D55" s="195" t="s">
        <v>64</v>
      </c>
      <c r="E55" s="195" t="str">
        <f>$N$30</f>
        <v>OATLMEAL - BC0279</v>
      </c>
      <c r="F55" s="129" t="s">
        <v>36</v>
      </c>
      <c r="G55" s="196">
        <f>$Q$33</f>
        <v>777</v>
      </c>
      <c r="H55" s="357">
        <v>1.75</v>
      </c>
      <c r="I55" s="179">
        <f>H55*G55</f>
        <v>1359.75</v>
      </c>
      <c r="J55" s="188">
        <f>I55*5.7%+(I55/50)*0.5+1</f>
        <v>92.103250000000003</v>
      </c>
      <c r="K55" s="188">
        <v>0</v>
      </c>
      <c r="L55" s="188">
        <v>0</v>
      </c>
      <c r="M55" s="338">
        <f>ROUND(I55+J55,0)</f>
        <v>1452</v>
      </c>
      <c r="N55" s="549" t="s">
        <v>948</v>
      </c>
      <c r="O55" s="549"/>
      <c r="P55" s="549"/>
      <c r="Q55" s="549"/>
      <c r="S55" s="356" t="s">
        <v>768</v>
      </c>
    </row>
    <row r="56" spans="1:19" s="128" customFormat="1" ht="94.5" customHeight="1">
      <c r="A56" s="355"/>
      <c r="B56" s="465" t="s">
        <v>771</v>
      </c>
      <c r="C56" s="465"/>
      <c r="D56" s="195" t="s">
        <v>781</v>
      </c>
      <c r="E56" s="195" t="str">
        <f t="shared" ref="E56:E57" si="12">$N$30</f>
        <v>OATLMEAL - BC0279</v>
      </c>
      <c r="F56" s="129" t="s">
        <v>36</v>
      </c>
      <c r="G56" s="196">
        <f>$Q$33</f>
        <v>777</v>
      </c>
      <c r="H56" s="357">
        <v>0.23</v>
      </c>
      <c r="I56" s="179">
        <f>H56*G56</f>
        <v>178.71</v>
      </c>
      <c r="J56" s="188">
        <f>I56*5.7%+(I56/50)*0.5+1</f>
        <v>12.973570000000002</v>
      </c>
      <c r="K56" s="188">
        <v>0</v>
      </c>
      <c r="L56" s="188">
        <v>0</v>
      </c>
      <c r="M56" s="338">
        <f>ROUND(I56+J56,0)</f>
        <v>192</v>
      </c>
      <c r="N56" s="549" t="s">
        <v>949</v>
      </c>
      <c r="O56" s="549"/>
      <c r="P56" s="549"/>
      <c r="Q56" s="549"/>
      <c r="S56" s="356"/>
    </row>
    <row r="57" spans="1:19" s="128" customFormat="1" ht="82.5" customHeight="1">
      <c r="A57" s="355">
        <v>3</v>
      </c>
      <c r="B57" s="462" t="s">
        <v>928</v>
      </c>
      <c r="C57" s="462"/>
      <c r="D57" s="423" t="s">
        <v>929</v>
      </c>
      <c r="E57" s="195" t="str">
        <f t="shared" si="12"/>
        <v>OATLMEAL - BC0279</v>
      </c>
      <c r="F57" s="355" t="s">
        <v>36</v>
      </c>
      <c r="G57" s="424">
        <f>$Q$21</f>
        <v>778</v>
      </c>
      <c r="H57" s="425">
        <v>0.01</v>
      </c>
      <c r="I57" s="426">
        <f>H57*G57</f>
        <v>7.78</v>
      </c>
      <c r="J57" s="427">
        <f>I57*2.3%+(I57/50)*0.5+1</f>
        <v>1.25674</v>
      </c>
      <c r="K57" s="427">
        <v>0</v>
      </c>
      <c r="L57" s="427">
        <v>0</v>
      </c>
      <c r="M57" s="428">
        <f>ROUND(I57+J57,0)</f>
        <v>9</v>
      </c>
      <c r="N57" s="549" t="s">
        <v>950</v>
      </c>
      <c r="O57" s="549"/>
      <c r="P57" s="549"/>
      <c r="Q57" s="549"/>
      <c r="S57" s="356"/>
    </row>
    <row r="58" spans="1:19" s="128" customFormat="1" ht="58.5" customHeight="1">
      <c r="A58" s="355">
        <v>4</v>
      </c>
      <c r="B58" s="462" t="s">
        <v>930</v>
      </c>
      <c r="C58" s="462"/>
      <c r="D58" s="423" t="s">
        <v>931</v>
      </c>
      <c r="E58" s="423" t="s">
        <v>109</v>
      </c>
      <c r="F58" s="355" t="s">
        <v>36</v>
      </c>
      <c r="G58" s="424">
        <f>$Q$21</f>
        <v>778</v>
      </c>
      <c r="H58" s="425">
        <v>0.03</v>
      </c>
      <c r="I58" s="426">
        <f>H58*G58</f>
        <v>23.34</v>
      </c>
      <c r="J58" s="427">
        <f>I58*2.3%+(I58/50)*0.5+1</f>
        <v>1.7702199999999999</v>
      </c>
      <c r="K58" s="427">
        <v>0</v>
      </c>
      <c r="L58" s="427">
        <v>0</v>
      </c>
      <c r="M58" s="428">
        <f>ROUND(I58+J58,0)</f>
        <v>25</v>
      </c>
      <c r="N58" s="463" t="s">
        <v>932</v>
      </c>
      <c r="O58" s="463"/>
      <c r="P58" s="463"/>
      <c r="Q58" s="463"/>
      <c r="S58" s="356"/>
    </row>
    <row r="59" spans="1:19" s="26" customFormat="1" ht="37" customHeight="1" thickBot="1">
      <c r="B59" s="87" t="s">
        <v>69</v>
      </c>
      <c r="C59" s="27"/>
      <c r="D59" s="27"/>
      <c r="E59" s="27"/>
      <c r="G59" s="28"/>
      <c r="Q59" s="29"/>
    </row>
    <row r="60" spans="1:19" s="40" customFormat="1" ht="55.5" customHeight="1">
      <c r="A60" s="466" t="s">
        <v>70</v>
      </c>
      <c r="B60" s="467"/>
      <c r="C60" s="467"/>
      <c r="D60" s="467"/>
      <c r="E60" s="468"/>
      <c r="F60" s="84" t="s">
        <v>71</v>
      </c>
      <c r="G60" s="84" t="s">
        <v>72</v>
      </c>
      <c r="H60" s="469" t="s">
        <v>73</v>
      </c>
      <c r="I60" s="470"/>
      <c r="J60" s="85" t="s">
        <v>55</v>
      </c>
      <c r="K60" s="84" t="s">
        <v>74</v>
      </c>
      <c r="L60" s="84" t="s">
        <v>75</v>
      </c>
      <c r="M60" s="86" t="s">
        <v>76</v>
      </c>
      <c r="N60" s="86" t="s">
        <v>77</v>
      </c>
      <c r="O60" s="86" t="s">
        <v>78</v>
      </c>
      <c r="P60" s="469" t="s">
        <v>79</v>
      </c>
      <c r="Q60" s="470"/>
    </row>
    <row r="61" spans="1:19" s="15" customFormat="1" ht="81.75" customHeight="1">
      <c r="A61" s="192">
        <v>1</v>
      </c>
      <c r="B61" s="471" t="s">
        <v>80</v>
      </c>
      <c r="C61" s="471"/>
      <c r="D61" s="471"/>
      <c r="E61" s="471"/>
      <c r="F61" s="183" t="str">
        <f>E43</f>
        <v>ASH - BC01</v>
      </c>
      <c r="G61" s="434" t="s">
        <v>951</v>
      </c>
      <c r="H61" s="472" t="str">
        <f>$D$21</f>
        <v>DOVE</v>
      </c>
      <c r="I61" s="473" t="str">
        <f t="shared" ref="I61:I75" si="13">$E$43</f>
        <v>ASH - BC01</v>
      </c>
      <c r="J61" s="187" t="s">
        <v>81</v>
      </c>
      <c r="K61" s="187">
        <f>$Q$21</f>
        <v>778</v>
      </c>
      <c r="L61" s="352">
        <f>320/4500</f>
        <v>7.1111111111111111E-2</v>
      </c>
      <c r="M61" s="193">
        <f t="shared" ref="M61:M63" si="14">K61*L61</f>
        <v>55.324444444444445</v>
      </c>
      <c r="N61" s="193"/>
      <c r="O61" s="189">
        <f t="shared" ref="O61" si="15">ROUNDUP(N61+M61,0)</f>
        <v>56</v>
      </c>
      <c r="P61" s="474" t="s">
        <v>954</v>
      </c>
      <c r="Q61" s="475"/>
    </row>
    <row r="62" spans="1:19" s="15" customFormat="1" ht="81.75" customHeight="1">
      <c r="A62" s="192">
        <v>2</v>
      </c>
      <c r="B62" s="471" t="s">
        <v>80</v>
      </c>
      <c r="C62" s="471"/>
      <c r="D62" s="471"/>
      <c r="E62" s="471"/>
      <c r="F62" s="183" t="str">
        <f>E50</f>
        <v>HEATHER GREY - BC06</v>
      </c>
      <c r="G62" s="434" t="s">
        <v>952</v>
      </c>
      <c r="H62" s="472" t="str">
        <f t="shared" ref="H62" si="16">$D$27</f>
        <v>HEATHER GREY</v>
      </c>
      <c r="I62" s="473"/>
      <c r="J62" s="187" t="s">
        <v>81</v>
      </c>
      <c r="K62" s="187">
        <f>$Q$27</f>
        <v>777</v>
      </c>
      <c r="L62" s="352">
        <f>320/4500</f>
        <v>7.1111111111111111E-2</v>
      </c>
      <c r="M62" s="193">
        <f t="shared" si="14"/>
        <v>55.25333333333333</v>
      </c>
      <c r="N62" s="193"/>
      <c r="O62" s="189">
        <f t="shared" ref="O62" si="17">ROUNDUP(N62+M62,0)</f>
        <v>56</v>
      </c>
      <c r="P62" s="476"/>
      <c r="Q62" s="477"/>
    </row>
    <row r="63" spans="1:19" s="15" customFormat="1" ht="81.75" customHeight="1">
      <c r="A63" s="192">
        <v>3</v>
      </c>
      <c r="B63" s="471" t="s">
        <v>80</v>
      </c>
      <c r="C63" s="471"/>
      <c r="D63" s="471"/>
      <c r="E63" s="471"/>
      <c r="F63" s="183" t="str">
        <f>E55</f>
        <v>OATLMEAL - BC0279</v>
      </c>
      <c r="G63" s="434" t="s">
        <v>953</v>
      </c>
      <c r="H63" s="472" t="str">
        <f>$D$33</f>
        <v>SANDSTONE</v>
      </c>
      <c r="I63" s="473" t="str">
        <f t="shared" si="13"/>
        <v>ASH - BC01</v>
      </c>
      <c r="J63" s="187" t="s">
        <v>81</v>
      </c>
      <c r="K63" s="187">
        <f>$Q$33</f>
        <v>777</v>
      </c>
      <c r="L63" s="352">
        <f>320/4500</f>
        <v>7.1111111111111111E-2</v>
      </c>
      <c r="M63" s="193">
        <f t="shared" si="14"/>
        <v>55.25333333333333</v>
      </c>
      <c r="N63" s="193"/>
      <c r="O63" s="189">
        <f t="shared" ref="O63" si="18">ROUNDUP(N63+M63,0)</f>
        <v>56</v>
      </c>
      <c r="P63" s="476"/>
      <c r="Q63" s="477"/>
    </row>
    <row r="64" spans="1:19" s="15" customFormat="1" ht="47.25" customHeight="1">
      <c r="A64" s="192">
        <v>4</v>
      </c>
      <c r="B64" s="478" t="s">
        <v>773</v>
      </c>
      <c r="C64" s="479"/>
      <c r="D64" s="479"/>
      <c r="E64" s="479"/>
      <c r="F64" s="481" t="s">
        <v>91</v>
      </c>
      <c r="G64" s="483" t="s">
        <v>774</v>
      </c>
      <c r="H64" s="472" t="str">
        <f>$D$21</f>
        <v>DOVE</v>
      </c>
      <c r="I64" s="473" t="str">
        <f t="shared" si="13"/>
        <v>ASH - BC01</v>
      </c>
      <c r="J64" s="187" t="s">
        <v>87</v>
      </c>
      <c r="K64" s="187">
        <f>$Q$21</f>
        <v>778</v>
      </c>
      <c r="L64" s="187">
        <v>1</v>
      </c>
      <c r="M64" s="187">
        <f t="shared" ref="M64:M75" si="19">L64*K64</f>
        <v>778</v>
      </c>
      <c r="N64" s="193"/>
      <c r="O64" s="189">
        <f t="shared" ref="O64:O74" si="20">ROUNDUP(N64+M64,0)</f>
        <v>778</v>
      </c>
      <c r="P64" s="474" t="s">
        <v>744</v>
      </c>
      <c r="Q64" s="475"/>
    </row>
    <row r="65" spans="1:17" s="15" customFormat="1" ht="47.25" customHeight="1">
      <c r="A65" s="192">
        <v>5</v>
      </c>
      <c r="B65" s="478" t="s">
        <v>773</v>
      </c>
      <c r="C65" s="479"/>
      <c r="D65" s="479"/>
      <c r="E65" s="479"/>
      <c r="F65" s="482"/>
      <c r="G65" s="484"/>
      <c r="H65" s="472" t="str">
        <f t="shared" ref="H65" si="21">$D$27</f>
        <v>HEATHER GREY</v>
      </c>
      <c r="I65" s="473"/>
      <c r="J65" s="187" t="s">
        <v>87</v>
      </c>
      <c r="K65" s="187">
        <f>$Q$27</f>
        <v>777</v>
      </c>
      <c r="L65" s="187">
        <v>1</v>
      </c>
      <c r="M65" s="187">
        <f t="shared" si="19"/>
        <v>777</v>
      </c>
      <c r="N65" s="193"/>
      <c r="O65" s="189">
        <f t="shared" si="20"/>
        <v>777</v>
      </c>
      <c r="P65" s="476"/>
      <c r="Q65" s="477"/>
    </row>
    <row r="66" spans="1:17" s="15" customFormat="1" ht="47.25" customHeight="1">
      <c r="A66" s="192">
        <v>6</v>
      </c>
      <c r="B66" s="478" t="s">
        <v>773</v>
      </c>
      <c r="C66" s="479"/>
      <c r="D66" s="479"/>
      <c r="E66" s="479"/>
      <c r="F66" s="548"/>
      <c r="G66" s="484"/>
      <c r="H66" s="472" t="str">
        <f>$D$33</f>
        <v>SANDSTONE</v>
      </c>
      <c r="I66" s="473" t="str">
        <f t="shared" si="13"/>
        <v>ASH - BC01</v>
      </c>
      <c r="J66" s="187" t="s">
        <v>87</v>
      </c>
      <c r="K66" s="187">
        <f>$Q$33</f>
        <v>777</v>
      </c>
      <c r="L66" s="187">
        <v>1</v>
      </c>
      <c r="M66" s="187">
        <f t="shared" si="19"/>
        <v>777</v>
      </c>
      <c r="N66" s="193"/>
      <c r="O66" s="189">
        <f t="shared" ref="O66" si="22">ROUNDUP(N66+M66,0)</f>
        <v>777</v>
      </c>
      <c r="P66" s="545"/>
      <c r="Q66" s="546"/>
    </row>
    <row r="67" spans="1:17" s="15" customFormat="1" ht="47.25" customHeight="1">
      <c r="A67" s="192">
        <v>7</v>
      </c>
      <c r="B67" s="478" t="s">
        <v>775</v>
      </c>
      <c r="C67" s="479"/>
      <c r="D67" s="479"/>
      <c r="E67" s="479"/>
      <c r="F67" s="481" t="s">
        <v>91</v>
      </c>
      <c r="G67" s="483" t="s">
        <v>776</v>
      </c>
      <c r="H67" s="472" t="str">
        <f>$D$21</f>
        <v>DOVE</v>
      </c>
      <c r="I67" s="473" t="str">
        <f t="shared" si="13"/>
        <v>ASH - BC01</v>
      </c>
      <c r="J67" s="187" t="s">
        <v>87</v>
      </c>
      <c r="K67" s="187">
        <f>$Q$21</f>
        <v>778</v>
      </c>
      <c r="L67" s="187">
        <v>1</v>
      </c>
      <c r="M67" s="187">
        <f t="shared" si="19"/>
        <v>778</v>
      </c>
      <c r="N67" s="193"/>
      <c r="O67" s="189">
        <f t="shared" si="20"/>
        <v>778</v>
      </c>
      <c r="P67" s="474" t="s">
        <v>744</v>
      </c>
      <c r="Q67" s="475"/>
    </row>
    <row r="68" spans="1:17" s="15" customFormat="1" ht="47.25" customHeight="1">
      <c r="A68" s="192">
        <v>8</v>
      </c>
      <c r="B68" s="478" t="s">
        <v>775</v>
      </c>
      <c r="C68" s="479"/>
      <c r="D68" s="479"/>
      <c r="E68" s="479"/>
      <c r="F68" s="482"/>
      <c r="G68" s="484"/>
      <c r="H68" s="472" t="str">
        <f t="shared" ref="H68" si="23">$D$27</f>
        <v>HEATHER GREY</v>
      </c>
      <c r="I68" s="473"/>
      <c r="J68" s="187" t="s">
        <v>87</v>
      </c>
      <c r="K68" s="187">
        <f>$Q$27</f>
        <v>777</v>
      </c>
      <c r="L68" s="187">
        <v>1</v>
      </c>
      <c r="M68" s="187">
        <f t="shared" si="19"/>
        <v>777</v>
      </c>
      <c r="N68" s="193"/>
      <c r="O68" s="189">
        <f t="shared" si="20"/>
        <v>777</v>
      </c>
      <c r="P68" s="476"/>
      <c r="Q68" s="477"/>
    </row>
    <row r="69" spans="1:17" s="15" customFormat="1" ht="47.25" customHeight="1">
      <c r="A69" s="192">
        <v>9</v>
      </c>
      <c r="B69" s="478" t="s">
        <v>775</v>
      </c>
      <c r="C69" s="479"/>
      <c r="D69" s="479"/>
      <c r="E69" s="479"/>
      <c r="F69" s="548"/>
      <c r="G69" s="484"/>
      <c r="H69" s="472" t="str">
        <f>$D$33</f>
        <v>SANDSTONE</v>
      </c>
      <c r="I69" s="473" t="str">
        <f t="shared" si="13"/>
        <v>ASH - BC01</v>
      </c>
      <c r="J69" s="187" t="s">
        <v>87</v>
      </c>
      <c r="K69" s="187">
        <f>$Q$33</f>
        <v>777</v>
      </c>
      <c r="L69" s="187">
        <v>1</v>
      </c>
      <c r="M69" s="187">
        <f t="shared" si="19"/>
        <v>777</v>
      </c>
      <c r="N69" s="193"/>
      <c r="O69" s="189">
        <f t="shared" ref="O69:O71" si="24">ROUNDUP(N69+M69,0)</f>
        <v>777</v>
      </c>
      <c r="P69" s="545"/>
      <c r="Q69" s="546"/>
    </row>
    <row r="70" spans="1:17" s="15" customFormat="1" ht="47.25" customHeight="1">
      <c r="A70" s="192">
        <v>10</v>
      </c>
      <c r="B70" s="480" t="s">
        <v>753</v>
      </c>
      <c r="C70" s="471"/>
      <c r="D70" s="471"/>
      <c r="E70" s="471"/>
      <c r="F70" s="481" t="s">
        <v>91</v>
      </c>
      <c r="G70" s="483" t="s">
        <v>754</v>
      </c>
      <c r="H70" s="472" t="str">
        <f>$D$21</f>
        <v>DOVE</v>
      </c>
      <c r="I70" s="473" t="str">
        <f t="shared" si="13"/>
        <v>ASH - BC01</v>
      </c>
      <c r="J70" s="187" t="s">
        <v>87</v>
      </c>
      <c r="K70" s="187">
        <f>$Q$21</f>
        <v>778</v>
      </c>
      <c r="L70" s="187">
        <v>1</v>
      </c>
      <c r="M70" s="187">
        <f t="shared" ref="M70:M72" si="25">L70*K70</f>
        <v>778</v>
      </c>
      <c r="N70" s="193"/>
      <c r="O70" s="189">
        <f t="shared" si="24"/>
        <v>778</v>
      </c>
      <c r="P70" s="474" t="s">
        <v>744</v>
      </c>
      <c r="Q70" s="475"/>
    </row>
    <row r="71" spans="1:17" s="15" customFormat="1" ht="47.25" customHeight="1">
      <c r="A71" s="192">
        <v>11</v>
      </c>
      <c r="B71" s="480" t="s">
        <v>753</v>
      </c>
      <c r="C71" s="471"/>
      <c r="D71" s="471"/>
      <c r="E71" s="471"/>
      <c r="F71" s="482"/>
      <c r="G71" s="484"/>
      <c r="H71" s="472" t="str">
        <f t="shared" ref="H71" si="26">$D$27</f>
        <v>HEATHER GREY</v>
      </c>
      <c r="I71" s="473"/>
      <c r="J71" s="187" t="s">
        <v>87</v>
      </c>
      <c r="K71" s="187">
        <f>$Q$27</f>
        <v>777</v>
      </c>
      <c r="L71" s="187">
        <v>1</v>
      </c>
      <c r="M71" s="187">
        <f t="shared" si="25"/>
        <v>777</v>
      </c>
      <c r="N71" s="193"/>
      <c r="O71" s="189">
        <f t="shared" si="24"/>
        <v>777</v>
      </c>
      <c r="P71" s="476"/>
      <c r="Q71" s="477"/>
    </row>
    <row r="72" spans="1:17" s="15" customFormat="1" ht="47.25" customHeight="1">
      <c r="A72" s="192">
        <v>12</v>
      </c>
      <c r="B72" s="480" t="s">
        <v>753</v>
      </c>
      <c r="C72" s="471"/>
      <c r="D72" s="471"/>
      <c r="E72" s="471"/>
      <c r="F72" s="548"/>
      <c r="G72" s="484"/>
      <c r="H72" s="472" t="str">
        <f>$D$33</f>
        <v>SANDSTONE</v>
      </c>
      <c r="I72" s="473" t="str">
        <f t="shared" si="13"/>
        <v>ASH - BC01</v>
      </c>
      <c r="J72" s="187" t="s">
        <v>87</v>
      </c>
      <c r="K72" s="187">
        <f>$Q$33</f>
        <v>777</v>
      </c>
      <c r="L72" s="187">
        <v>1</v>
      </c>
      <c r="M72" s="187">
        <f t="shared" si="25"/>
        <v>777</v>
      </c>
      <c r="N72" s="193"/>
      <c r="O72" s="189">
        <f t="shared" ref="O72" si="27">ROUNDUP(N72+M72,0)</f>
        <v>777</v>
      </c>
      <c r="P72" s="545"/>
      <c r="Q72" s="546"/>
    </row>
    <row r="73" spans="1:17" s="15" customFormat="1" ht="63.75" customHeight="1">
      <c r="A73" s="192">
        <v>13</v>
      </c>
      <c r="B73" s="480" t="s">
        <v>750</v>
      </c>
      <c r="C73" s="471"/>
      <c r="D73" s="471"/>
      <c r="E73" s="485"/>
      <c r="F73" s="487" t="s">
        <v>91</v>
      </c>
      <c r="G73" s="488"/>
      <c r="H73" s="486" t="str">
        <f>$D$21</f>
        <v>DOVE</v>
      </c>
      <c r="I73" s="473" t="str">
        <f t="shared" si="13"/>
        <v>ASH - BC01</v>
      </c>
      <c r="J73" s="187" t="s">
        <v>87</v>
      </c>
      <c r="K73" s="187">
        <f>$Q$21</f>
        <v>778</v>
      </c>
      <c r="L73" s="187">
        <v>1</v>
      </c>
      <c r="M73" s="187">
        <f t="shared" si="19"/>
        <v>778</v>
      </c>
      <c r="N73" s="193"/>
      <c r="O73" s="189">
        <f t="shared" si="20"/>
        <v>778</v>
      </c>
      <c r="P73" s="474" t="s">
        <v>745</v>
      </c>
      <c r="Q73" s="475"/>
    </row>
    <row r="74" spans="1:17" s="15" customFormat="1" ht="63.75" customHeight="1">
      <c r="A74" s="192">
        <v>14</v>
      </c>
      <c r="B74" s="480" t="s">
        <v>750</v>
      </c>
      <c r="C74" s="471"/>
      <c r="D74" s="471"/>
      <c r="E74" s="485"/>
      <c r="F74" s="487"/>
      <c r="G74" s="488"/>
      <c r="H74" s="486" t="str">
        <f t="shared" ref="H74" si="28">$D$27</f>
        <v>HEATHER GREY</v>
      </c>
      <c r="I74" s="473"/>
      <c r="J74" s="187" t="s">
        <v>87</v>
      </c>
      <c r="K74" s="187">
        <f>$Q$27</f>
        <v>777</v>
      </c>
      <c r="L74" s="187">
        <v>1</v>
      </c>
      <c r="M74" s="187">
        <f t="shared" si="19"/>
        <v>777</v>
      </c>
      <c r="N74" s="193"/>
      <c r="O74" s="189">
        <f t="shared" si="20"/>
        <v>777</v>
      </c>
      <c r="P74" s="476"/>
      <c r="Q74" s="477"/>
    </row>
    <row r="75" spans="1:17" s="15" customFormat="1" ht="63.75" customHeight="1">
      <c r="A75" s="192">
        <v>15</v>
      </c>
      <c r="B75" s="480" t="s">
        <v>750</v>
      </c>
      <c r="C75" s="471"/>
      <c r="D75" s="471"/>
      <c r="E75" s="485"/>
      <c r="F75" s="487"/>
      <c r="G75" s="488"/>
      <c r="H75" s="486" t="str">
        <f>$D$33</f>
        <v>SANDSTONE</v>
      </c>
      <c r="I75" s="473" t="str">
        <f t="shared" si="13"/>
        <v>ASH - BC01</v>
      </c>
      <c r="J75" s="187" t="s">
        <v>87</v>
      </c>
      <c r="K75" s="187">
        <f>$Q$33</f>
        <v>777</v>
      </c>
      <c r="L75" s="187">
        <v>1</v>
      </c>
      <c r="M75" s="187">
        <f t="shared" si="19"/>
        <v>777</v>
      </c>
      <c r="N75" s="193"/>
      <c r="O75" s="189">
        <f t="shared" ref="O75" si="29">ROUNDUP(N75+M75,0)</f>
        <v>777</v>
      </c>
      <c r="P75" s="545"/>
      <c r="Q75" s="546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">
      <c r="A77" s="459" t="s">
        <v>70</v>
      </c>
      <c r="B77" s="459"/>
      <c r="C77" s="459"/>
      <c r="D77" s="459"/>
      <c r="E77" s="459"/>
      <c r="F77" s="190" t="s">
        <v>71</v>
      </c>
      <c r="G77" s="190" t="s">
        <v>72</v>
      </c>
      <c r="H77" s="460" t="s">
        <v>73</v>
      </c>
      <c r="I77" s="460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60" t="s">
        <v>79</v>
      </c>
      <c r="Q77" s="460"/>
    </row>
    <row r="78" spans="1:17" s="34" customFormat="1" ht="51.75" customHeight="1">
      <c r="A78" s="192">
        <v>1</v>
      </c>
      <c r="B78" s="480" t="s">
        <v>746</v>
      </c>
      <c r="C78" s="480"/>
      <c r="D78" s="480"/>
      <c r="E78" s="480"/>
      <c r="F78" s="493" t="s">
        <v>91</v>
      </c>
      <c r="G78" s="494"/>
      <c r="H78" s="492" t="str">
        <f>$D$21</f>
        <v>DOVE</v>
      </c>
      <c r="I78" s="492" t="str">
        <f>$E$43</f>
        <v>ASH - BC01</v>
      </c>
      <c r="J78" s="187" t="s">
        <v>87</v>
      </c>
      <c r="K78" s="187">
        <f>$Q$21</f>
        <v>778</v>
      </c>
      <c r="L78" s="353">
        <f>1+L93</f>
        <v>1.1666666666666667</v>
      </c>
      <c r="M78" s="187">
        <f t="shared" ref="M78:M98" si="30">K78*L78</f>
        <v>907.66666666666674</v>
      </c>
      <c r="N78" s="193"/>
      <c r="O78" s="189">
        <f t="shared" ref="O78:O97" si="31">ROUNDUP(N78+M78,0)</f>
        <v>908</v>
      </c>
      <c r="P78" s="474" t="s">
        <v>751</v>
      </c>
      <c r="Q78" s="475"/>
    </row>
    <row r="79" spans="1:17" s="34" customFormat="1" ht="51.75" customHeight="1">
      <c r="A79" s="192">
        <v>2</v>
      </c>
      <c r="B79" s="480" t="s">
        <v>746</v>
      </c>
      <c r="C79" s="480"/>
      <c r="D79" s="480"/>
      <c r="E79" s="480"/>
      <c r="F79" s="493"/>
      <c r="G79" s="494"/>
      <c r="H79" s="492" t="str">
        <f t="shared" ref="H79" si="32">$D$27</f>
        <v>HEATHER GREY</v>
      </c>
      <c r="I79" s="492"/>
      <c r="J79" s="187" t="s">
        <v>87</v>
      </c>
      <c r="K79" s="187">
        <f>$Q$27</f>
        <v>777</v>
      </c>
      <c r="L79" s="353">
        <f>1+L94</f>
        <v>1.1666666666666667</v>
      </c>
      <c r="M79" s="187">
        <f t="shared" si="30"/>
        <v>906.50000000000011</v>
      </c>
      <c r="N79" s="193"/>
      <c r="O79" s="189">
        <f t="shared" si="31"/>
        <v>907</v>
      </c>
      <c r="P79" s="476"/>
      <c r="Q79" s="477"/>
    </row>
    <row r="80" spans="1:17" s="34" customFormat="1" ht="51.75" customHeight="1">
      <c r="A80" s="192">
        <v>3</v>
      </c>
      <c r="B80" s="480" t="s">
        <v>746</v>
      </c>
      <c r="C80" s="480"/>
      <c r="D80" s="480"/>
      <c r="E80" s="480"/>
      <c r="F80" s="493"/>
      <c r="G80" s="494"/>
      <c r="H80" s="492" t="str">
        <f>$D$33</f>
        <v>SANDSTONE</v>
      </c>
      <c r="I80" s="492" t="str">
        <f>$E$43</f>
        <v>ASH - BC01</v>
      </c>
      <c r="J80" s="187" t="s">
        <v>87</v>
      </c>
      <c r="K80" s="187">
        <f>$Q$33</f>
        <v>777</v>
      </c>
      <c r="L80" s="353">
        <f>1+L95</f>
        <v>1.1666666666666667</v>
      </c>
      <c r="M80" s="187">
        <f t="shared" si="30"/>
        <v>906.50000000000011</v>
      </c>
      <c r="N80" s="193"/>
      <c r="O80" s="189">
        <f t="shared" ref="O80" si="33">ROUNDUP(N80+M80,0)</f>
        <v>907</v>
      </c>
      <c r="P80" s="545"/>
      <c r="Q80" s="546"/>
    </row>
    <row r="81" spans="1:17" s="34" customFormat="1" ht="64.5" customHeight="1">
      <c r="A81" s="192">
        <v>4</v>
      </c>
      <c r="B81" s="489" t="s">
        <v>748</v>
      </c>
      <c r="C81" s="489"/>
      <c r="D81" s="489"/>
      <c r="E81" s="489"/>
      <c r="F81" s="183" t="s">
        <v>103</v>
      </c>
      <c r="G81" s="490" t="s">
        <v>749</v>
      </c>
      <c r="H81" s="492" t="str">
        <f>$D$21</f>
        <v>DOVE</v>
      </c>
      <c r="I81" s="492" t="str">
        <f>$E$43</f>
        <v>ASH - BC01</v>
      </c>
      <c r="J81" s="187" t="s">
        <v>87</v>
      </c>
      <c r="K81" s="187">
        <f>$Q$21</f>
        <v>778</v>
      </c>
      <c r="L81" s="187">
        <v>1</v>
      </c>
      <c r="M81" s="187">
        <f t="shared" si="30"/>
        <v>778</v>
      </c>
      <c r="N81" s="193"/>
      <c r="O81" s="189">
        <f t="shared" si="31"/>
        <v>778</v>
      </c>
      <c r="P81" s="474" t="s">
        <v>747</v>
      </c>
      <c r="Q81" s="475"/>
    </row>
    <row r="82" spans="1:17" s="34" customFormat="1" ht="64.5" customHeight="1">
      <c r="A82" s="192">
        <v>5</v>
      </c>
      <c r="B82" s="489" t="s">
        <v>748</v>
      </c>
      <c r="C82" s="489"/>
      <c r="D82" s="489"/>
      <c r="E82" s="489"/>
      <c r="F82" s="183" t="s">
        <v>103</v>
      </c>
      <c r="G82" s="491"/>
      <c r="H82" s="492" t="str">
        <f t="shared" ref="H82" si="34">$D$27</f>
        <v>HEATHER GREY</v>
      </c>
      <c r="I82" s="492"/>
      <c r="J82" s="187" t="s">
        <v>87</v>
      </c>
      <c r="K82" s="187">
        <f>$Q$27</f>
        <v>777</v>
      </c>
      <c r="L82" s="187">
        <v>1</v>
      </c>
      <c r="M82" s="187">
        <f t="shared" si="30"/>
        <v>777</v>
      </c>
      <c r="N82" s="193"/>
      <c r="O82" s="189">
        <f t="shared" si="31"/>
        <v>777</v>
      </c>
      <c r="P82" s="476"/>
      <c r="Q82" s="477"/>
    </row>
    <row r="83" spans="1:17" s="34" customFormat="1" ht="64.5" customHeight="1">
      <c r="A83" s="192">
        <v>6</v>
      </c>
      <c r="B83" s="489" t="s">
        <v>748</v>
      </c>
      <c r="C83" s="489"/>
      <c r="D83" s="489"/>
      <c r="E83" s="489"/>
      <c r="F83" s="183" t="s">
        <v>103</v>
      </c>
      <c r="G83" s="547"/>
      <c r="H83" s="492" t="str">
        <f>$D$33</f>
        <v>SANDSTONE</v>
      </c>
      <c r="I83" s="492" t="str">
        <f>$E$43</f>
        <v>ASH - BC01</v>
      </c>
      <c r="J83" s="187" t="s">
        <v>87</v>
      </c>
      <c r="K83" s="187">
        <f>$Q$33</f>
        <v>777</v>
      </c>
      <c r="L83" s="187">
        <v>1</v>
      </c>
      <c r="M83" s="187">
        <f t="shared" si="30"/>
        <v>777</v>
      </c>
      <c r="N83" s="193"/>
      <c r="O83" s="189">
        <f t="shared" ref="O83" si="35">ROUNDUP(N83+M83,0)</f>
        <v>777</v>
      </c>
      <c r="P83" s="545"/>
      <c r="Q83" s="546"/>
    </row>
    <row r="84" spans="1:17" s="34" customFormat="1" ht="42.75" customHeight="1">
      <c r="A84" s="192">
        <v>7</v>
      </c>
      <c r="B84" s="480" t="s">
        <v>755</v>
      </c>
      <c r="C84" s="471"/>
      <c r="D84" s="471"/>
      <c r="E84" s="471"/>
      <c r="F84" s="183" t="s">
        <v>105</v>
      </c>
      <c r="G84" s="183"/>
      <c r="H84" s="492" t="str">
        <f>$D$21</f>
        <v>DOVE</v>
      </c>
      <c r="I84" s="492" t="str">
        <f>$E$43</f>
        <v>ASH - BC01</v>
      </c>
      <c r="J84" s="187" t="s">
        <v>87</v>
      </c>
      <c r="K84" s="187">
        <f>$Q$21</f>
        <v>778</v>
      </c>
      <c r="L84" s="194">
        <f>1/12</f>
        <v>8.3333333333333329E-2</v>
      </c>
      <c r="M84" s="187">
        <f t="shared" si="30"/>
        <v>64.833333333333329</v>
      </c>
      <c r="N84" s="193"/>
      <c r="O84" s="189">
        <f t="shared" si="31"/>
        <v>65</v>
      </c>
      <c r="P84" s="499"/>
      <c r="Q84" s="499"/>
    </row>
    <row r="85" spans="1:17" s="34" customFormat="1" ht="42.75" customHeight="1">
      <c r="A85" s="192">
        <v>8</v>
      </c>
      <c r="B85" s="480" t="s">
        <v>755</v>
      </c>
      <c r="C85" s="471"/>
      <c r="D85" s="471"/>
      <c r="E85" s="471"/>
      <c r="F85" s="183" t="s">
        <v>105</v>
      </c>
      <c r="G85" s="183"/>
      <c r="H85" s="492" t="str">
        <f t="shared" ref="H85" si="36">$D$27</f>
        <v>HEATHER GREY</v>
      </c>
      <c r="I85" s="492"/>
      <c r="J85" s="187" t="s">
        <v>87</v>
      </c>
      <c r="K85" s="187">
        <f>$Q$27</f>
        <v>777</v>
      </c>
      <c r="L85" s="194">
        <f>1/12</f>
        <v>8.3333333333333329E-2</v>
      </c>
      <c r="M85" s="187">
        <f t="shared" si="30"/>
        <v>64.75</v>
      </c>
      <c r="N85" s="193"/>
      <c r="O85" s="189">
        <f t="shared" si="31"/>
        <v>65</v>
      </c>
      <c r="P85" s="499"/>
      <c r="Q85" s="499"/>
    </row>
    <row r="86" spans="1:17" s="34" customFormat="1" ht="42.75" customHeight="1">
      <c r="A86" s="192">
        <v>9</v>
      </c>
      <c r="B86" s="480" t="s">
        <v>755</v>
      </c>
      <c r="C86" s="471"/>
      <c r="D86" s="471"/>
      <c r="E86" s="471"/>
      <c r="F86" s="183" t="s">
        <v>105</v>
      </c>
      <c r="G86" s="183"/>
      <c r="H86" s="492" t="str">
        <f>$D$33</f>
        <v>SANDSTONE</v>
      </c>
      <c r="I86" s="492" t="str">
        <f>$E$43</f>
        <v>ASH - BC01</v>
      </c>
      <c r="J86" s="187" t="s">
        <v>87</v>
      </c>
      <c r="K86" s="187">
        <f>$Q$33</f>
        <v>777</v>
      </c>
      <c r="L86" s="194">
        <f>1/12</f>
        <v>8.3333333333333329E-2</v>
      </c>
      <c r="M86" s="187">
        <f t="shared" si="30"/>
        <v>64.75</v>
      </c>
      <c r="N86" s="193"/>
      <c r="O86" s="189">
        <f t="shared" ref="O86" si="37">ROUNDUP(N86+M86,0)</f>
        <v>65</v>
      </c>
      <c r="P86" s="499"/>
      <c r="Q86" s="499"/>
    </row>
    <row r="87" spans="1:17" s="34" customFormat="1" ht="51.75" customHeight="1">
      <c r="A87" s="192">
        <v>10</v>
      </c>
      <c r="B87" s="480" t="s">
        <v>145</v>
      </c>
      <c r="C87" s="480"/>
      <c r="D87" s="480"/>
      <c r="E87" s="480"/>
      <c r="F87" s="493" t="s">
        <v>91</v>
      </c>
      <c r="G87" s="494"/>
      <c r="H87" s="492" t="str">
        <f>$D$21</f>
        <v>DOVE</v>
      </c>
      <c r="I87" s="492" t="str">
        <f>$E$43</f>
        <v>ASH - BC01</v>
      </c>
      <c r="J87" s="187" t="s">
        <v>87</v>
      </c>
      <c r="K87" s="187">
        <f>$Q$21</f>
        <v>778</v>
      </c>
      <c r="L87" s="353">
        <f t="shared" ref="L87:L92" si="38">1/12*2</f>
        <v>0.16666666666666666</v>
      </c>
      <c r="M87" s="187">
        <f t="shared" ref="M87:M89" si="39">K87*L87</f>
        <v>129.66666666666666</v>
      </c>
      <c r="N87" s="193"/>
      <c r="O87" s="189">
        <f>ROUNDUP(N87+M87,0)</f>
        <v>130</v>
      </c>
      <c r="P87" s="495"/>
      <c r="Q87" s="496"/>
    </row>
    <row r="88" spans="1:17" s="34" customFormat="1" ht="51.75" customHeight="1">
      <c r="A88" s="192">
        <v>11</v>
      </c>
      <c r="B88" s="480" t="s">
        <v>145</v>
      </c>
      <c r="C88" s="480"/>
      <c r="D88" s="480"/>
      <c r="E88" s="480"/>
      <c r="F88" s="493"/>
      <c r="G88" s="494"/>
      <c r="H88" s="492" t="str">
        <f t="shared" ref="H88" si="40">$D$27</f>
        <v>HEATHER GREY</v>
      </c>
      <c r="I88" s="492"/>
      <c r="J88" s="187" t="s">
        <v>87</v>
      </c>
      <c r="K88" s="187">
        <f>$Q$27</f>
        <v>777</v>
      </c>
      <c r="L88" s="353">
        <f t="shared" si="38"/>
        <v>0.16666666666666666</v>
      </c>
      <c r="M88" s="187">
        <f t="shared" si="39"/>
        <v>129.5</v>
      </c>
      <c r="N88" s="193"/>
      <c r="O88" s="189">
        <f>ROUNDUP(N88+M88,0)</f>
        <v>130</v>
      </c>
      <c r="P88" s="497"/>
      <c r="Q88" s="498"/>
    </row>
    <row r="89" spans="1:17" s="34" customFormat="1" ht="51.75" customHeight="1">
      <c r="A89" s="192">
        <v>12</v>
      </c>
      <c r="B89" s="480" t="s">
        <v>145</v>
      </c>
      <c r="C89" s="480"/>
      <c r="D89" s="480"/>
      <c r="E89" s="480"/>
      <c r="F89" s="493"/>
      <c r="G89" s="494"/>
      <c r="H89" s="492" t="str">
        <f>$D$33</f>
        <v>SANDSTONE</v>
      </c>
      <c r="I89" s="492" t="str">
        <f>$E$43</f>
        <v>ASH - BC01</v>
      </c>
      <c r="J89" s="187" t="s">
        <v>87</v>
      </c>
      <c r="K89" s="187">
        <f>$Q$33</f>
        <v>777</v>
      </c>
      <c r="L89" s="353">
        <f t="shared" si="38"/>
        <v>0.16666666666666666</v>
      </c>
      <c r="M89" s="187">
        <f t="shared" si="39"/>
        <v>129.5</v>
      </c>
      <c r="N89" s="193"/>
      <c r="O89" s="189">
        <f t="shared" ref="O89" si="41">ROUNDUP(N89+M89,0)</f>
        <v>130</v>
      </c>
      <c r="P89" s="541"/>
      <c r="Q89" s="542"/>
    </row>
    <row r="90" spans="1:17" s="34" customFormat="1" ht="51.75" customHeight="1">
      <c r="A90" s="433">
        <v>13</v>
      </c>
      <c r="B90" s="504" t="s">
        <v>757</v>
      </c>
      <c r="C90" s="504"/>
      <c r="D90" s="504"/>
      <c r="E90" s="504"/>
      <c r="F90" s="506" t="s">
        <v>170</v>
      </c>
      <c r="G90" s="507"/>
      <c r="H90" s="505" t="str">
        <f>$D$21</f>
        <v>DOVE</v>
      </c>
      <c r="I90" s="505" t="str">
        <f>$E$43</f>
        <v>ASH - BC01</v>
      </c>
      <c r="J90" s="429" t="s">
        <v>87</v>
      </c>
      <c r="K90" s="429">
        <f>$Q$21</f>
        <v>778</v>
      </c>
      <c r="L90" s="430">
        <f t="shared" si="38"/>
        <v>0.16666666666666666</v>
      </c>
      <c r="M90" s="429">
        <f t="shared" ref="M90:M92" si="42">K90*L90</f>
        <v>129.66666666666666</v>
      </c>
      <c r="N90" s="431"/>
      <c r="O90" s="432">
        <f>ROUNDUP(N90+M90,0)</f>
        <v>130</v>
      </c>
      <c r="P90" s="500" t="s">
        <v>758</v>
      </c>
      <c r="Q90" s="501"/>
    </row>
    <row r="91" spans="1:17" s="34" customFormat="1" ht="51.75" customHeight="1">
      <c r="A91" s="433">
        <v>14</v>
      </c>
      <c r="B91" s="504" t="s">
        <v>757</v>
      </c>
      <c r="C91" s="504"/>
      <c r="D91" s="504"/>
      <c r="E91" s="504"/>
      <c r="F91" s="506"/>
      <c r="G91" s="507"/>
      <c r="H91" s="505" t="str">
        <f t="shared" ref="H91" si="43">$D$27</f>
        <v>HEATHER GREY</v>
      </c>
      <c r="I91" s="505"/>
      <c r="J91" s="429" t="s">
        <v>87</v>
      </c>
      <c r="K91" s="429">
        <f>$Q$27</f>
        <v>777</v>
      </c>
      <c r="L91" s="430">
        <f t="shared" si="38"/>
        <v>0.16666666666666666</v>
      </c>
      <c r="M91" s="429">
        <f t="shared" si="42"/>
        <v>129.5</v>
      </c>
      <c r="N91" s="431"/>
      <c r="O91" s="432">
        <f>ROUNDUP(N91+M91,0)</f>
        <v>130</v>
      </c>
      <c r="P91" s="502"/>
      <c r="Q91" s="503"/>
    </row>
    <row r="92" spans="1:17" s="34" customFormat="1" ht="51.75" customHeight="1">
      <c r="A92" s="433">
        <v>15</v>
      </c>
      <c r="B92" s="504" t="s">
        <v>757</v>
      </c>
      <c r="C92" s="504"/>
      <c r="D92" s="504"/>
      <c r="E92" s="504"/>
      <c r="F92" s="506"/>
      <c r="G92" s="507"/>
      <c r="H92" s="505" t="str">
        <f>$D$33</f>
        <v>SANDSTONE</v>
      </c>
      <c r="I92" s="505" t="str">
        <f>$E$43</f>
        <v>ASH - BC01</v>
      </c>
      <c r="J92" s="429" t="s">
        <v>87</v>
      </c>
      <c r="K92" s="429">
        <f>$Q$33</f>
        <v>777</v>
      </c>
      <c r="L92" s="430">
        <f t="shared" si="38"/>
        <v>0.16666666666666666</v>
      </c>
      <c r="M92" s="429">
        <f t="shared" si="42"/>
        <v>129.5</v>
      </c>
      <c r="N92" s="431"/>
      <c r="O92" s="432">
        <f t="shared" ref="O92" si="44">ROUNDUP(N92+M92,0)</f>
        <v>130</v>
      </c>
      <c r="P92" s="543"/>
      <c r="Q92" s="544"/>
    </row>
    <row r="93" spans="1:17" s="34" customFormat="1" ht="42.75" customHeight="1">
      <c r="A93" s="192">
        <v>16</v>
      </c>
      <c r="B93" s="480" t="s">
        <v>106</v>
      </c>
      <c r="C93" s="471"/>
      <c r="D93" s="471"/>
      <c r="E93" s="471"/>
      <c r="F93" s="183" t="s">
        <v>105</v>
      </c>
      <c r="G93" s="183"/>
      <c r="H93" s="492" t="str">
        <f>$D$21</f>
        <v>DOVE</v>
      </c>
      <c r="I93" s="492" t="str">
        <f>$E$43</f>
        <v>ASH - BC01</v>
      </c>
      <c r="J93" s="187" t="s">
        <v>87</v>
      </c>
      <c r="K93" s="187">
        <f>$Q$21</f>
        <v>778</v>
      </c>
      <c r="L93" s="194">
        <f>L84*2</f>
        <v>0.16666666666666666</v>
      </c>
      <c r="M93" s="187">
        <f t="shared" si="30"/>
        <v>129.66666666666666</v>
      </c>
      <c r="N93" s="193"/>
      <c r="O93" s="189">
        <f t="shared" si="31"/>
        <v>130</v>
      </c>
      <c r="P93" s="499"/>
      <c r="Q93" s="499"/>
    </row>
    <row r="94" spans="1:17" s="34" customFormat="1" ht="42.75" customHeight="1">
      <c r="A94" s="192">
        <v>17</v>
      </c>
      <c r="B94" s="480" t="s">
        <v>106</v>
      </c>
      <c r="C94" s="471"/>
      <c r="D94" s="471"/>
      <c r="E94" s="471"/>
      <c r="F94" s="183" t="s">
        <v>105</v>
      </c>
      <c r="G94" s="183"/>
      <c r="H94" s="492" t="str">
        <f t="shared" ref="H94" si="45">$D$27</f>
        <v>HEATHER GREY</v>
      </c>
      <c r="I94" s="492"/>
      <c r="J94" s="187" t="s">
        <v>87</v>
      </c>
      <c r="K94" s="187">
        <f>$Q$27</f>
        <v>777</v>
      </c>
      <c r="L94" s="194">
        <f>L85*2</f>
        <v>0.16666666666666666</v>
      </c>
      <c r="M94" s="187">
        <f t="shared" si="30"/>
        <v>129.5</v>
      </c>
      <c r="N94" s="193"/>
      <c r="O94" s="189">
        <f t="shared" si="31"/>
        <v>130</v>
      </c>
      <c r="P94" s="499"/>
      <c r="Q94" s="499"/>
    </row>
    <row r="95" spans="1:17" s="34" customFormat="1" ht="42.75" customHeight="1">
      <c r="A95" s="192">
        <v>18</v>
      </c>
      <c r="B95" s="480" t="s">
        <v>106</v>
      </c>
      <c r="C95" s="471"/>
      <c r="D95" s="471"/>
      <c r="E95" s="471"/>
      <c r="F95" s="183" t="s">
        <v>105</v>
      </c>
      <c r="G95" s="183"/>
      <c r="H95" s="492" t="str">
        <f>$D$33</f>
        <v>SANDSTONE</v>
      </c>
      <c r="I95" s="492" t="str">
        <f>$E$43</f>
        <v>ASH - BC01</v>
      </c>
      <c r="J95" s="187" t="s">
        <v>87</v>
      </c>
      <c r="K95" s="187">
        <f>$Q$33</f>
        <v>777</v>
      </c>
      <c r="L95" s="194">
        <f>L86*2</f>
        <v>0.16666666666666666</v>
      </c>
      <c r="M95" s="187">
        <f t="shared" si="30"/>
        <v>129.5</v>
      </c>
      <c r="N95" s="193"/>
      <c r="O95" s="189">
        <f t="shared" ref="O95" si="46">ROUNDUP(N95+M95,0)</f>
        <v>130</v>
      </c>
      <c r="P95" s="499"/>
      <c r="Q95" s="499"/>
    </row>
    <row r="96" spans="1:17" s="34" customFormat="1" ht="42.75" customHeight="1">
      <c r="A96" s="192">
        <v>19</v>
      </c>
      <c r="B96" s="480" t="s">
        <v>107</v>
      </c>
      <c r="C96" s="471"/>
      <c r="D96" s="471"/>
      <c r="E96" s="471"/>
      <c r="F96" s="183" t="s">
        <v>103</v>
      </c>
      <c r="G96" s="183"/>
      <c r="H96" s="492" t="str">
        <f>$D$21</f>
        <v>DOVE</v>
      </c>
      <c r="I96" s="492" t="str">
        <f>$E$43</f>
        <v>ASH - BC01</v>
      </c>
      <c r="J96" s="187" t="s">
        <v>87</v>
      </c>
      <c r="K96" s="187">
        <f>$Q$21</f>
        <v>778</v>
      </c>
      <c r="L96" s="194">
        <f>L84</f>
        <v>8.3333333333333329E-2</v>
      </c>
      <c r="M96" s="187">
        <f t="shared" si="30"/>
        <v>64.833333333333329</v>
      </c>
      <c r="N96" s="193"/>
      <c r="O96" s="189">
        <f t="shared" si="31"/>
        <v>65</v>
      </c>
      <c r="P96" s="499"/>
      <c r="Q96" s="499"/>
    </row>
    <row r="97" spans="1:17" s="34" customFormat="1" ht="42.75" customHeight="1">
      <c r="A97" s="192">
        <v>20</v>
      </c>
      <c r="B97" s="480" t="s">
        <v>107</v>
      </c>
      <c r="C97" s="471"/>
      <c r="D97" s="471"/>
      <c r="E97" s="471"/>
      <c r="F97" s="183" t="s">
        <v>103</v>
      </c>
      <c r="G97" s="183"/>
      <c r="H97" s="492" t="str">
        <f t="shared" ref="H97" si="47">$D$27</f>
        <v>HEATHER GREY</v>
      </c>
      <c r="I97" s="492"/>
      <c r="J97" s="187" t="s">
        <v>87</v>
      </c>
      <c r="K97" s="187">
        <f>$Q$27</f>
        <v>777</v>
      </c>
      <c r="L97" s="194">
        <f>L85</f>
        <v>8.3333333333333329E-2</v>
      </c>
      <c r="M97" s="187">
        <f t="shared" si="30"/>
        <v>64.75</v>
      </c>
      <c r="N97" s="193"/>
      <c r="O97" s="189">
        <f t="shared" si="31"/>
        <v>65</v>
      </c>
      <c r="P97" s="499"/>
      <c r="Q97" s="499"/>
    </row>
    <row r="98" spans="1:17" s="34" customFormat="1" ht="42.75" customHeight="1">
      <c r="A98" s="192">
        <v>21</v>
      </c>
      <c r="B98" s="480" t="s">
        <v>107</v>
      </c>
      <c r="C98" s="471"/>
      <c r="D98" s="471"/>
      <c r="E98" s="471"/>
      <c r="F98" s="183" t="s">
        <v>103</v>
      </c>
      <c r="G98" s="183"/>
      <c r="H98" s="492" t="str">
        <f>$D$33</f>
        <v>SANDSTONE</v>
      </c>
      <c r="I98" s="492" t="str">
        <f>$E$43</f>
        <v>ASH - BC01</v>
      </c>
      <c r="J98" s="187" t="s">
        <v>87</v>
      </c>
      <c r="K98" s="187">
        <f>$Q$33</f>
        <v>777</v>
      </c>
      <c r="L98" s="194">
        <f>L86</f>
        <v>8.3333333333333329E-2</v>
      </c>
      <c r="M98" s="187">
        <f t="shared" si="30"/>
        <v>64.75</v>
      </c>
      <c r="N98" s="193"/>
      <c r="O98" s="189">
        <f t="shared" ref="O98" si="48">ROUNDUP(N98+M98,0)</f>
        <v>65</v>
      </c>
      <c r="P98" s="499"/>
      <c r="Q98" s="499"/>
    </row>
    <row r="99" spans="1:17" s="15" customFormat="1" ht="27.5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508" t="s">
        <v>112</v>
      </c>
      <c r="K100" s="508"/>
      <c r="L100" s="508"/>
      <c r="M100" s="508"/>
      <c r="N100" s="508"/>
      <c r="O100" s="33"/>
      <c r="P100" s="33"/>
      <c r="Q100" s="34"/>
    </row>
    <row r="101" spans="1:17" s="92" customFormat="1" ht="54.65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509" t="s">
        <v>115</v>
      </c>
      <c r="C102" s="510"/>
      <c r="D102" s="510"/>
      <c r="E102" s="510"/>
      <c r="F102" s="510"/>
      <c r="G102" s="510"/>
      <c r="H102" s="510"/>
      <c r="I102" s="511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512" t="s">
        <v>73</v>
      </c>
      <c r="C103" s="513"/>
      <c r="D103" s="514" t="s">
        <v>116</v>
      </c>
      <c r="E103" s="515"/>
      <c r="F103" s="515"/>
      <c r="G103" s="515"/>
      <c r="H103" s="515"/>
      <c r="I103" s="516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650000000000006" hidden="1" customHeight="1">
      <c r="A104" s="92"/>
      <c r="B104" s="528" t="str">
        <f>$D$21</f>
        <v>DOVE</v>
      </c>
      <c r="C104" s="528" t="str">
        <f t="shared" ref="C104:C107" si="49">$E$43</f>
        <v>ASH - BC01</v>
      </c>
      <c r="D104" s="517"/>
      <c r="E104" s="518"/>
      <c r="F104" s="518"/>
      <c r="G104" s="518"/>
      <c r="H104" s="518"/>
      <c r="I104" s="519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528" t="str">
        <f t="shared" ref="B105" si="50">$D$27</f>
        <v>HEATHER GREY</v>
      </c>
      <c r="C105" s="528"/>
      <c r="D105" s="517"/>
      <c r="E105" s="518"/>
      <c r="F105" s="518"/>
      <c r="G105" s="518"/>
      <c r="H105" s="518"/>
      <c r="I105" s="519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528" t="str">
        <f>$D$33</f>
        <v>SANDSTONE</v>
      </c>
      <c r="C106" s="528" t="str">
        <f t="shared" si="49"/>
        <v>ASH - BC01</v>
      </c>
      <c r="D106" s="517"/>
      <c r="E106" s="518"/>
      <c r="F106" s="518"/>
      <c r="G106" s="518"/>
      <c r="H106" s="518"/>
      <c r="I106" s="519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528" t="e">
        <f>#REF!</f>
        <v>#REF!</v>
      </c>
      <c r="C107" s="528" t="str">
        <f t="shared" si="49"/>
        <v>ASH - BC01</v>
      </c>
      <c r="D107" s="517"/>
      <c r="E107" s="518"/>
      <c r="F107" s="518"/>
      <c r="G107" s="518"/>
      <c r="H107" s="518"/>
      <c r="I107" s="519"/>
      <c r="J107" s="35"/>
      <c r="K107" s="35"/>
      <c r="L107" s="35"/>
      <c r="M107" s="35"/>
      <c r="N107" s="35"/>
      <c r="O107" s="35"/>
    </row>
    <row r="108" spans="1:17" s="15" customFormat="1" ht="27.5" hidden="1"/>
    <row r="109" spans="1:17" s="15" customFormat="1" ht="28" hidden="1">
      <c r="A109" s="92"/>
      <c r="B109" s="509"/>
      <c r="C109" s="510"/>
      <c r="D109" s="520"/>
      <c r="E109" s="520"/>
      <c r="F109" s="520"/>
      <c r="G109" s="520"/>
      <c r="H109" s="520"/>
      <c r="I109" s="521"/>
      <c r="J109" s="35"/>
      <c r="K109" s="35"/>
      <c r="L109" s="35"/>
    </row>
    <row r="110" spans="1:17" s="15" customFormat="1" ht="40.5" hidden="1" customHeight="1">
      <c r="A110" s="92"/>
      <c r="B110" s="522"/>
      <c r="C110" s="523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524" t="s">
        <v>118</v>
      </c>
      <c r="C111" s="524"/>
      <c r="D111" s="525">
        <v>2.2000000000000002</v>
      </c>
      <c r="E111" s="526"/>
      <c r="F111" s="526"/>
      <c r="G111" s="526"/>
      <c r="H111" s="526"/>
      <c r="I111" s="527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5" customHeight="1">
      <c r="A113" s="16">
        <v>2</v>
      </c>
      <c r="B113" s="94" t="s">
        <v>119</v>
      </c>
      <c r="C113" s="540" t="s">
        <v>752</v>
      </c>
      <c r="D113" s="540"/>
      <c r="E113" s="540"/>
      <c r="F113" s="540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8" hidden="1">
      <c r="A114" s="92"/>
      <c r="B114" s="509" t="s">
        <v>115</v>
      </c>
      <c r="C114" s="510"/>
      <c r="D114" s="510"/>
      <c r="E114" s="510"/>
      <c r="F114" s="510"/>
      <c r="G114" s="510"/>
      <c r="H114" s="510"/>
      <c r="I114" s="511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512" t="s">
        <v>73</v>
      </c>
      <c r="C115" s="513"/>
      <c r="D115" s="514" t="s">
        <v>116</v>
      </c>
      <c r="E115" s="515"/>
      <c r="F115" s="515"/>
      <c r="G115" s="515"/>
      <c r="H115" s="515"/>
      <c r="I115" s="516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528" t="str">
        <f>$D$21</f>
        <v>DOVE</v>
      </c>
      <c r="C116" s="528" t="str">
        <f t="shared" ref="C116:C119" si="51">$E$43</f>
        <v>ASH - BC01</v>
      </c>
      <c r="D116" s="517" t="s">
        <v>121</v>
      </c>
      <c r="E116" s="518"/>
      <c r="F116" s="518"/>
      <c r="G116" s="518"/>
      <c r="H116" s="518"/>
      <c r="I116" s="519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528" t="str">
        <f t="shared" ref="B117" si="52">$D$27</f>
        <v>HEATHER GREY</v>
      </c>
      <c r="C117" s="528"/>
      <c r="D117" s="517" t="s">
        <v>122</v>
      </c>
      <c r="E117" s="518"/>
      <c r="F117" s="518"/>
      <c r="G117" s="518"/>
      <c r="H117" s="518"/>
      <c r="I117" s="519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528" t="str">
        <f>$D$33</f>
        <v>SANDSTONE</v>
      </c>
      <c r="C118" s="528" t="str">
        <f t="shared" si="51"/>
        <v>ASH - BC01</v>
      </c>
      <c r="D118" s="517" t="s">
        <v>121</v>
      </c>
      <c r="E118" s="518"/>
      <c r="F118" s="518"/>
      <c r="G118" s="518"/>
      <c r="H118" s="518"/>
      <c r="I118" s="519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528" t="e">
        <f>#REF!</f>
        <v>#REF!</v>
      </c>
      <c r="C119" s="528" t="str">
        <f t="shared" si="51"/>
        <v>ASH - BC01</v>
      </c>
      <c r="D119" s="517" t="s">
        <v>122</v>
      </c>
      <c r="E119" s="518"/>
      <c r="F119" s="518"/>
      <c r="G119" s="518"/>
      <c r="H119" s="518"/>
      <c r="I119" s="519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8" hidden="1">
      <c r="A121" s="92"/>
      <c r="B121" s="509" t="s">
        <v>123</v>
      </c>
      <c r="C121" s="510"/>
      <c r="D121" s="520"/>
      <c r="E121" s="520"/>
      <c r="F121" s="520"/>
      <c r="G121" s="520"/>
      <c r="H121" s="520"/>
      <c r="I121" s="521"/>
      <c r="J121" s="35"/>
      <c r="K121" s="35"/>
      <c r="L121" s="35"/>
    </row>
    <row r="122" spans="1:17" s="15" customFormat="1" ht="56.25" hidden="1" customHeight="1">
      <c r="A122" s="92"/>
      <c r="B122" s="522"/>
      <c r="C122" s="523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524" t="s">
        <v>124</v>
      </c>
      <c r="C123" s="524"/>
      <c r="D123" s="177"/>
      <c r="E123" s="178"/>
      <c r="F123" s="178"/>
      <c r="G123" s="178"/>
      <c r="H123" s="178"/>
      <c r="I123" s="178"/>
      <c r="J123" s="35"/>
    </row>
    <row r="124" spans="1:17" s="15" customFormat="1" ht="27.5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5" customHeight="1">
      <c r="A125" s="16">
        <v>3</v>
      </c>
      <c r="B125" s="94" t="s">
        <v>125</v>
      </c>
      <c r="C125" s="18" t="s">
        <v>955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5" customHeight="1">
      <c r="A126" s="92"/>
      <c r="B126" s="512" t="s">
        <v>73</v>
      </c>
      <c r="C126" s="513"/>
      <c r="D126" s="514" t="s">
        <v>957</v>
      </c>
      <c r="E126" s="515"/>
      <c r="F126" s="515"/>
      <c r="G126" s="515"/>
      <c r="H126" s="515"/>
      <c r="I126" s="516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150000000000006" customHeight="1">
      <c r="A127" s="92"/>
      <c r="B127" s="528" t="str">
        <f>$D$21</f>
        <v>DOVE</v>
      </c>
      <c r="C127" s="528" t="str">
        <f t="shared" ref="C127:C129" si="53">$E$43</f>
        <v>ASH - BC01</v>
      </c>
      <c r="D127" s="531" t="s">
        <v>956</v>
      </c>
      <c r="E127" s="532"/>
      <c r="F127" s="532"/>
      <c r="G127" s="532"/>
      <c r="H127" s="532"/>
      <c r="I127" s="533"/>
      <c r="J127" s="35"/>
      <c r="K127" s="35"/>
      <c r="L127" s="35"/>
      <c r="M127" s="35"/>
      <c r="N127" s="35"/>
      <c r="O127" s="35"/>
    </row>
    <row r="128" spans="1:17" s="15" customFormat="1" ht="77.150000000000006" customHeight="1">
      <c r="A128" s="92"/>
      <c r="B128" s="528" t="str">
        <f t="shared" ref="B128" si="54">$D$27</f>
        <v>HEATHER GREY</v>
      </c>
      <c r="C128" s="528"/>
      <c r="D128" s="534"/>
      <c r="E128" s="535"/>
      <c r="F128" s="535"/>
      <c r="G128" s="535"/>
      <c r="H128" s="535"/>
      <c r="I128" s="536"/>
      <c r="J128" s="35"/>
      <c r="K128" s="35"/>
      <c r="L128" s="35"/>
      <c r="M128" s="35"/>
      <c r="N128" s="35"/>
      <c r="O128" s="35"/>
    </row>
    <row r="129" spans="1:17" s="15" customFormat="1" ht="77.150000000000006" customHeight="1">
      <c r="A129" s="92"/>
      <c r="B129" s="528" t="str">
        <f>$D$33</f>
        <v>SANDSTONE</v>
      </c>
      <c r="C129" s="528" t="str">
        <f t="shared" si="53"/>
        <v>ASH - BC01</v>
      </c>
      <c r="D129" s="537"/>
      <c r="E129" s="538"/>
      <c r="F129" s="538"/>
      <c r="G129" s="538"/>
      <c r="H129" s="538"/>
      <c r="I129" s="539"/>
      <c r="J129" s="35"/>
      <c r="K129" s="35"/>
      <c r="L129" s="35"/>
      <c r="M129" s="35"/>
      <c r="N129" s="35"/>
      <c r="O129" s="35"/>
    </row>
    <row r="130" spans="1:17" s="15" customFormat="1" ht="27.5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508" t="s">
        <v>127</v>
      </c>
      <c r="C131" s="508"/>
      <c r="D131" s="508"/>
      <c r="E131" s="508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8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5" customHeight="1">
      <c r="A136" s="16"/>
      <c r="B136" s="250" t="s">
        <v>132</v>
      </c>
      <c r="C136" s="189">
        <f>G35</f>
        <v>58</v>
      </c>
      <c r="D136" s="189">
        <f t="shared" ref="D136:I136" si="55">H35</f>
        <v>201</v>
      </c>
      <c r="E136" s="189">
        <f t="shared" si="55"/>
        <v>531</v>
      </c>
      <c r="F136" s="189">
        <f t="shared" si="55"/>
        <v>678</v>
      </c>
      <c r="G136" s="189">
        <f t="shared" si="55"/>
        <v>543</v>
      </c>
      <c r="H136" s="189">
        <f t="shared" si="55"/>
        <v>249</v>
      </c>
      <c r="I136" s="189">
        <f t="shared" si="55"/>
        <v>72</v>
      </c>
      <c r="J136" s="189">
        <f>SUM(C136:I136)</f>
        <v>2332</v>
      </c>
      <c r="M136" s="36"/>
      <c r="N136" s="37"/>
      <c r="O136" s="37"/>
      <c r="P136" s="36"/>
    </row>
    <row r="137" spans="1:17" s="96" customFormat="1" ht="133" customHeight="1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</sheetData>
  <mergeCells count="203">
    <mergeCell ref="H61:I61"/>
    <mergeCell ref="N50:Q50"/>
    <mergeCell ref="A60:E60"/>
    <mergeCell ref="B20:F20"/>
    <mergeCell ref="B26:F26"/>
    <mergeCell ref="B32:F32"/>
    <mergeCell ref="B62:E62"/>
    <mergeCell ref="A54:Q54"/>
    <mergeCell ref="B55:C55"/>
    <mergeCell ref="N55:Q55"/>
    <mergeCell ref="P60:Q60"/>
    <mergeCell ref="B44:C44"/>
    <mergeCell ref="N44:Q44"/>
    <mergeCell ref="B45:C45"/>
    <mergeCell ref="N45:Q45"/>
    <mergeCell ref="B46:C46"/>
    <mergeCell ref="N46:Q46"/>
    <mergeCell ref="B43:C43"/>
    <mergeCell ref="H60:I60"/>
    <mergeCell ref="H62:I62"/>
    <mergeCell ref="B50:C50"/>
    <mergeCell ref="N58:Q58"/>
    <mergeCell ref="B52:C52"/>
    <mergeCell ref="N52:Q52"/>
    <mergeCell ref="B53:C53"/>
    <mergeCell ref="N53:Q53"/>
    <mergeCell ref="B57:C57"/>
    <mergeCell ref="N57:Q57"/>
    <mergeCell ref="B51:C51"/>
    <mergeCell ref="N51:Q51"/>
    <mergeCell ref="B56:C56"/>
    <mergeCell ref="N56:Q56"/>
    <mergeCell ref="J100:N100"/>
    <mergeCell ref="F67:F69"/>
    <mergeCell ref="G67:G69"/>
    <mergeCell ref="F73:F75"/>
    <mergeCell ref="G73:G75"/>
    <mergeCell ref="H75:I75"/>
    <mergeCell ref="H67:I67"/>
    <mergeCell ref="F64:F66"/>
    <mergeCell ref="G64:G66"/>
    <mergeCell ref="H64:I64"/>
    <mergeCell ref="H69:I69"/>
    <mergeCell ref="H65:I65"/>
    <mergeCell ref="H66:I66"/>
    <mergeCell ref="H82:I82"/>
    <mergeCell ref="B74:E74"/>
    <mergeCell ref="H74:I74"/>
    <mergeCell ref="H84:I84"/>
    <mergeCell ref="H81:I81"/>
    <mergeCell ref="A77:E77"/>
    <mergeCell ref="H77:I77"/>
    <mergeCell ref="H83:I83"/>
    <mergeCell ref="B63:E63"/>
    <mergeCell ref="B81:E81"/>
    <mergeCell ref="B73:E73"/>
    <mergeCell ref="B65:E65"/>
    <mergeCell ref="B64:E64"/>
    <mergeCell ref="B69:E69"/>
    <mergeCell ref="B67:E67"/>
    <mergeCell ref="B66:E66"/>
    <mergeCell ref="H63:I63"/>
    <mergeCell ref="P64:Q66"/>
    <mergeCell ref="B75:E7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N18:P19"/>
    <mergeCell ref="N24:P25"/>
    <mergeCell ref="N30:P31"/>
    <mergeCell ref="A42:Q42"/>
    <mergeCell ref="B38:Q38"/>
    <mergeCell ref="B39:Q39"/>
    <mergeCell ref="B37:Q37"/>
    <mergeCell ref="P61:Q63"/>
    <mergeCell ref="B61:E61"/>
    <mergeCell ref="P67:Q69"/>
    <mergeCell ref="A49:Q49"/>
    <mergeCell ref="B58:C58"/>
    <mergeCell ref="B89:E89"/>
    <mergeCell ref="B87:E87"/>
    <mergeCell ref="B13:F13"/>
    <mergeCell ref="N17:P17"/>
    <mergeCell ref="N23:P23"/>
    <mergeCell ref="N29:P29"/>
    <mergeCell ref="N41:Q41"/>
    <mergeCell ref="N43:Q43"/>
    <mergeCell ref="A41:C41"/>
    <mergeCell ref="H73:I73"/>
    <mergeCell ref="H68:I68"/>
    <mergeCell ref="B68:E68"/>
    <mergeCell ref="P73:Q75"/>
    <mergeCell ref="A48:C48"/>
    <mergeCell ref="N48:Q48"/>
    <mergeCell ref="B70:E70"/>
    <mergeCell ref="F70:F72"/>
    <mergeCell ref="G70:G72"/>
    <mergeCell ref="H70:I70"/>
    <mergeCell ref="P70:Q72"/>
    <mergeCell ref="B71:E71"/>
    <mergeCell ref="H71:I71"/>
    <mergeCell ref="B72:E72"/>
    <mergeCell ref="H72:I72"/>
    <mergeCell ref="B131:E131"/>
    <mergeCell ref="B102:I102"/>
    <mergeCell ref="B121:I121"/>
    <mergeCell ref="B114:I114"/>
    <mergeCell ref="B116:C116"/>
    <mergeCell ref="B117:C117"/>
    <mergeCell ref="B118:C118"/>
    <mergeCell ref="B119:C119"/>
    <mergeCell ref="B115:C115"/>
    <mergeCell ref="D115:I115"/>
    <mergeCell ref="D116:I116"/>
    <mergeCell ref="B123:C123"/>
    <mergeCell ref="B122:C122"/>
    <mergeCell ref="D117:I117"/>
    <mergeCell ref="D118:I118"/>
    <mergeCell ref="D119:I119"/>
    <mergeCell ref="D111:I111"/>
    <mergeCell ref="B106:C106"/>
    <mergeCell ref="D106:I106"/>
    <mergeCell ref="B107:C107"/>
    <mergeCell ref="D107:I107"/>
    <mergeCell ref="B103:C103"/>
    <mergeCell ref="B129:C129"/>
    <mergeCell ref="B126:C126"/>
    <mergeCell ref="D126:I126"/>
    <mergeCell ref="B127:C127"/>
    <mergeCell ref="B128:C128"/>
    <mergeCell ref="D103:I103"/>
    <mergeCell ref="B104:C104"/>
    <mergeCell ref="H91:I91"/>
    <mergeCell ref="C113:F113"/>
    <mergeCell ref="B110:C110"/>
    <mergeCell ref="B111:C111"/>
    <mergeCell ref="B109:I109"/>
    <mergeCell ref="D104:I104"/>
    <mergeCell ref="B105:C105"/>
    <mergeCell ref="D105:I105"/>
    <mergeCell ref="D127:I129"/>
    <mergeCell ref="B94:E94"/>
    <mergeCell ref="H94:I94"/>
    <mergeCell ref="B93:E93"/>
    <mergeCell ref="H93:I93"/>
    <mergeCell ref="B92:E92"/>
    <mergeCell ref="H92:I92"/>
    <mergeCell ref="H95:I95"/>
    <mergeCell ref="P77:Q77"/>
    <mergeCell ref="H89:I89"/>
    <mergeCell ref="F90:F92"/>
    <mergeCell ref="G90:G92"/>
    <mergeCell ref="H87:I87"/>
    <mergeCell ref="F87:F89"/>
    <mergeCell ref="P81:Q83"/>
    <mergeCell ref="P78:Q80"/>
    <mergeCell ref="B80:E80"/>
    <mergeCell ref="H80:I80"/>
    <mergeCell ref="B83:E83"/>
    <mergeCell ref="F78:F80"/>
    <mergeCell ref="G78:G80"/>
    <mergeCell ref="G81:G83"/>
    <mergeCell ref="B78:E78"/>
    <mergeCell ref="H78:I78"/>
    <mergeCell ref="B79:E79"/>
    <mergeCell ref="H79:I79"/>
    <mergeCell ref="B82:E82"/>
    <mergeCell ref="B84:E84"/>
    <mergeCell ref="H85:I85"/>
    <mergeCell ref="B91:E91"/>
    <mergeCell ref="B86:E86"/>
    <mergeCell ref="H86:I86"/>
    <mergeCell ref="P98:Q98"/>
    <mergeCell ref="P84:Q84"/>
    <mergeCell ref="P85:Q85"/>
    <mergeCell ref="P86:Q86"/>
    <mergeCell ref="P87:Q89"/>
    <mergeCell ref="P90:Q92"/>
    <mergeCell ref="B85:E85"/>
    <mergeCell ref="P93:Q93"/>
    <mergeCell ref="P94:Q94"/>
    <mergeCell ref="P95:Q95"/>
    <mergeCell ref="P96:Q96"/>
    <mergeCell ref="P97:Q97"/>
    <mergeCell ref="B98:E98"/>
    <mergeCell ref="H98:I98"/>
    <mergeCell ref="B97:E97"/>
    <mergeCell ref="H97:I97"/>
    <mergeCell ref="H96:I96"/>
    <mergeCell ref="B96:E96"/>
    <mergeCell ref="B95:E95"/>
    <mergeCell ref="B90:E90"/>
    <mergeCell ref="H90:I90"/>
    <mergeCell ref="G87:G89"/>
    <mergeCell ref="B88:E88"/>
    <mergeCell ref="H88:I8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5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1" t="s">
        <v>0</v>
      </c>
      <c r="N1" s="451" t="s">
        <v>0</v>
      </c>
      <c r="O1" s="452" t="s">
        <v>1</v>
      </c>
      <c r="P1" s="452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1" t="s">
        <v>2</v>
      </c>
      <c r="N2" s="451" t="s">
        <v>2</v>
      </c>
      <c r="O2" s="453" t="s">
        <v>3</v>
      </c>
      <c r="P2" s="453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1" t="s">
        <v>4</v>
      </c>
      <c r="N3" s="451" t="s">
        <v>4</v>
      </c>
      <c r="O3" s="454" t="s">
        <v>5</v>
      </c>
      <c r="P3" s="452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36" t="s">
        <v>133</v>
      </c>
      <c r="H5" s="437"/>
      <c r="I5" s="437"/>
      <c r="J5" s="437"/>
      <c r="K5" s="437"/>
      <c r="L5" s="438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39"/>
      <c r="H6" s="440"/>
      <c r="I6" s="440"/>
      <c r="J6" s="440"/>
      <c r="K6" s="440"/>
      <c r="L6" s="441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39"/>
      <c r="H7" s="440"/>
      <c r="I7" s="440"/>
      <c r="J7" s="440"/>
      <c r="K7" s="440"/>
      <c r="L7" s="441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45" t="s">
        <v>13</v>
      </c>
      <c r="E8" s="445"/>
      <c r="F8" s="445"/>
      <c r="G8" s="442"/>
      <c r="H8" s="443"/>
      <c r="I8" s="443"/>
      <c r="J8" s="443"/>
      <c r="K8" s="443"/>
      <c r="L8" s="444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46">
        <v>44964</v>
      </c>
      <c r="E11" s="447"/>
      <c r="F11" s="447"/>
      <c r="G11" s="241"/>
      <c r="H11" s="240"/>
      <c r="I11" s="186"/>
      <c r="J11" s="186" t="s">
        <v>20</v>
      </c>
      <c r="K11" s="186"/>
      <c r="L11" s="448" t="s">
        <v>21</v>
      </c>
      <c r="M11" s="448"/>
      <c r="N11" s="448"/>
      <c r="O11" s="448"/>
      <c r="P11" s="448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449"/>
      <c r="C13" s="449"/>
      <c r="D13" s="449"/>
      <c r="E13" s="449"/>
      <c r="F13" s="449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83" t="s">
        <v>47</v>
      </c>
      <c r="E28" s="583"/>
      <c r="F28" s="583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83" t="str">
        <f>+D28</f>
        <v>WASHED BURGUNDY</v>
      </c>
      <c r="E29" s="583"/>
      <c r="F29" s="583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84" t="str">
        <f>+D29</f>
        <v>WASHED BURGUNDY</v>
      </c>
      <c r="E30" s="584"/>
      <c r="F30" s="584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85" t="s">
        <v>50</v>
      </c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</row>
    <row r="44" spans="1:16" s="4" customFormat="1" ht="59.15" customHeight="1" thickBot="1">
      <c r="B44" s="87" t="s">
        <v>51</v>
      </c>
      <c r="C44" s="24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</row>
    <row r="45" spans="1:16" s="25" customFormat="1" ht="100.5" thickBot="1">
      <c r="A45" s="587" t="s">
        <v>52</v>
      </c>
      <c r="B45" s="588"/>
      <c r="C45" s="588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89" t="s">
        <v>63</v>
      </c>
      <c r="N45" s="590"/>
      <c r="O45" s="590"/>
      <c r="P45" s="591"/>
    </row>
    <row r="46" spans="1:16" s="34" customFormat="1" ht="45.75" hidden="1" customHeight="1">
      <c r="A46" s="580" t="str">
        <f>D18</f>
        <v>BLACK</v>
      </c>
      <c r="B46" s="581"/>
      <c r="C46" s="581"/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/>
      <c r="P46" s="582"/>
    </row>
    <row r="47" spans="1:16" s="128" customFormat="1" ht="120" hidden="1" customHeight="1">
      <c r="A47" s="129">
        <v>1</v>
      </c>
      <c r="B47" s="465" t="str">
        <f>$L$11</f>
        <v>100% DRY COTTON FLEECE 410GSM</v>
      </c>
      <c r="C47" s="465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76"/>
      <c r="N47" s="577"/>
      <c r="O47" s="577"/>
      <c r="P47" s="578"/>
    </row>
    <row r="48" spans="1:16" s="128" customFormat="1" ht="89.25" hidden="1" customHeight="1">
      <c r="A48" s="129">
        <v>2</v>
      </c>
      <c r="B48" s="465" t="s">
        <v>65</v>
      </c>
      <c r="C48" s="465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76"/>
      <c r="N48" s="577"/>
      <c r="O48" s="577"/>
      <c r="P48" s="578"/>
    </row>
    <row r="49" spans="1:16" s="128" customFormat="1" ht="129" hidden="1" customHeight="1">
      <c r="A49" s="129">
        <v>3</v>
      </c>
      <c r="B49" s="579" t="s">
        <v>67</v>
      </c>
      <c r="C49" s="579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76"/>
      <c r="N49" s="577"/>
      <c r="O49" s="577"/>
      <c r="P49" s="578"/>
    </row>
    <row r="50" spans="1:16" s="34" customFormat="1" ht="51.75" customHeight="1">
      <c r="A50" s="573" t="str">
        <f>D23</f>
        <v>GREY HEATHER</v>
      </c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5"/>
    </row>
    <row r="51" spans="1:16" s="128" customFormat="1" ht="186.75" customHeight="1">
      <c r="A51" s="129">
        <v>1</v>
      </c>
      <c r="B51" s="465" t="str">
        <f>$L$11</f>
        <v>100% DRY COTTON FLEECE 410GSM</v>
      </c>
      <c r="C51" s="465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76" t="s">
        <v>138</v>
      </c>
      <c r="N51" s="577"/>
      <c r="O51" s="577"/>
      <c r="P51" s="578"/>
    </row>
    <row r="52" spans="1:16" s="128" customFormat="1" ht="186.75" customHeight="1">
      <c r="A52" s="129">
        <v>2</v>
      </c>
      <c r="B52" s="465" t="s">
        <v>65</v>
      </c>
      <c r="C52" s="465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76" t="s">
        <v>139</v>
      </c>
      <c r="N52" s="577"/>
      <c r="O52" s="577"/>
      <c r="P52" s="578"/>
    </row>
    <row r="53" spans="1:16" s="128" customFormat="1" ht="186.75" customHeight="1">
      <c r="A53" s="129">
        <v>3</v>
      </c>
      <c r="B53" s="579" t="s">
        <v>67</v>
      </c>
      <c r="C53" s="579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76" t="s">
        <v>140</v>
      </c>
      <c r="N53" s="577"/>
      <c r="O53" s="577"/>
      <c r="P53" s="578"/>
    </row>
    <row r="54" spans="1:16" s="34" customFormat="1" ht="51.75" hidden="1" customHeight="1">
      <c r="A54" s="573" t="str">
        <f>D28</f>
        <v>WASHED BURGUNDY</v>
      </c>
      <c r="B54" s="574"/>
      <c r="C54" s="574"/>
      <c r="D54" s="574"/>
      <c r="E54" s="574"/>
      <c r="F54" s="574"/>
      <c r="G54" s="574"/>
      <c r="H54" s="574"/>
      <c r="I54" s="574"/>
      <c r="J54" s="574"/>
      <c r="K54" s="574"/>
      <c r="L54" s="574"/>
      <c r="M54" s="574"/>
      <c r="N54" s="574"/>
      <c r="O54" s="574"/>
      <c r="P54" s="575"/>
    </row>
    <row r="55" spans="1:16" s="128" customFormat="1" ht="96.75" hidden="1" customHeight="1">
      <c r="A55" s="129">
        <v>1</v>
      </c>
      <c r="B55" s="465" t="str">
        <f>$L$11</f>
        <v>100% DRY COTTON FLEECE 410GSM</v>
      </c>
      <c r="C55" s="465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76"/>
      <c r="N55" s="577"/>
      <c r="O55" s="577"/>
      <c r="P55" s="578"/>
    </row>
    <row r="56" spans="1:16" s="128" customFormat="1" ht="70.5" hidden="1" customHeight="1">
      <c r="A56" s="129">
        <v>2</v>
      </c>
      <c r="B56" s="465" t="s">
        <v>65</v>
      </c>
      <c r="C56" s="465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76"/>
      <c r="N56" s="577"/>
      <c r="O56" s="577"/>
      <c r="P56" s="578"/>
    </row>
    <row r="57" spans="1:16" s="128" customFormat="1" ht="125.25" hidden="1" customHeight="1">
      <c r="A57" s="129">
        <v>3</v>
      </c>
      <c r="B57" s="579" t="s">
        <v>67</v>
      </c>
      <c r="C57" s="579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76"/>
      <c r="N57" s="577"/>
      <c r="O57" s="577"/>
      <c r="P57" s="578"/>
    </row>
    <row r="58" spans="1:16" s="34" customFormat="1" ht="51.75" hidden="1" customHeight="1">
      <c r="A58" s="573" t="str">
        <f>D33</f>
        <v>LIME</v>
      </c>
      <c r="B58" s="574"/>
      <c r="C58" s="574"/>
      <c r="D58" s="574"/>
      <c r="E58" s="574"/>
      <c r="F58" s="574"/>
      <c r="G58" s="574"/>
      <c r="H58" s="574"/>
      <c r="I58" s="574"/>
      <c r="J58" s="574"/>
      <c r="K58" s="574"/>
      <c r="L58" s="574"/>
      <c r="M58" s="574"/>
      <c r="N58" s="574"/>
      <c r="O58" s="574"/>
      <c r="P58" s="575"/>
    </row>
    <row r="59" spans="1:16" s="128" customFormat="1" ht="96.75" hidden="1" customHeight="1">
      <c r="A59" s="129">
        <v>1</v>
      </c>
      <c r="B59" s="465" t="str">
        <f>$L$11</f>
        <v>100% DRY COTTON FLEECE 410GSM</v>
      </c>
      <c r="C59" s="465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76"/>
      <c r="N59" s="577"/>
      <c r="O59" s="577"/>
      <c r="P59" s="578"/>
    </row>
    <row r="60" spans="1:16" s="128" customFormat="1" ht="70.5" hidden="1" customHeight="1">
      <c r="A60" s="129">
        <v>2</v>
      </c>
      <c r="B60" s="465" t="s">
        <v>65</v>
      </c>
      <c r="C60" s="465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76"/>
      <c r="N60" s="577"/>
      <c r="O60" s="577"/>
      <c r="P60" s="578"/>
    </row>
    <row r="61" spans="1:16" s="128" customFormat="1" ht="125.25" hidden="1" customHeight="1">
      <c r="A61" s="129">
        <v>3</v>
      </c>
      <c r="B61" s="579" t="s">
        <v>67</v>
      </c>
      <c r="C61" s="579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76"/>
      <c r="N61" s="577"/>
      <c r="O61" s="577"/>
      <c r="P61" s="578"/>
    </row>
    <row r="62" spans="1:16" s="34" customFormat="1" ht="21.75" customHeight="1">
      <c r="A62" s="573"/>
      <c r="B62" s="574"/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74"/>
      <c r="O62" s="574"/>
      <c r="P62" s="575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66" t="s">
        <v>70</v>
      </c>
      <c r="B64" s="467"/>
      <c r="C64" s="467"/>
      <c r="D64" s="467"/>
      <c r="E64" s="468"/>
      <c r="F64" s="84" t="s">
        <v>71</v>
      </c>
      <c r="G64" s="84" t="s">
        <v>72</v>
      </c>
      <c r="H64" s="469" t="s">
        <v>73</v>
      </c>
      <c r="I64" s="470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71" t="s">
        <v>80</v>
      </c>
      <c r="C65" s="471"/>
      <c r="D65" s="471"/>
      <c r="E65" s="471"/>
      <c r="F65" s="183" t="str">
        <f>H65</f>
        <v>BLACK</v>
      </c>
      <c r="G65" s="246"/>
      <c r="H65" s="472" t="str">
        <f>$D$18</f>
        <v>BLACK</v>
      </c>
      <c r="I65" s="473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71" t="s">
        <v>80</v>
      </c>
      <c r="C66" s="471"/>
      <c r="D66" s="471"/>
      <c r="E66" s="471"/>
      <c r="F66" s="183" t="str">
        <f t="shared" ref="F66:F68" si="18">H66</f>
        <v>GREY HEATHER</v>
      </c>
      <c r="G66" s="246" t="s">
        <v>141</v>
      </c>
      <c r="H66" s="472" t="str">
        <f>$D$23</f>
        <v>GREY HEATHER</v>
      </c>
      <c r="I66" s="473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71" t="s">
        <v>80</v>
      </c>
      <c r="C67" s="471"/>
      <c r="D67" s="471"/>
      <c r="E67" s="471"/>
      <c r="F67" s="183" t="str">
        <f t="shared" si="18"/>
        <v>WASHED BURGUNDY</v>
      </c>
      <c r="G67" s="246"/>
      <c r="H67" s="472" t="str">
        <f>$D$28</f>
        <v>WASHED BURGUNDY</v>
      </c>
      <c r="I67" s="473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71" t="s">
        <v>80</v>
      </c>
      <c r="C68" s="471"/>
      <c r="D68" s="471"/>
      <c r="E68" s="471"/>
      <c r="F68" s="183" t="str">
        <f t="shared" si="18"/>
        <v>LIME</v>
      </c>
      <c r="G68" s="246"/>
      <c r="H68" s="472" t="str">
        <f>$D$33</f>
        <v>LIME</v>
      </c>
      <c r="I68" s="473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71" t="s">
        <v>82</v>
      </c>
      <c r="C69" s="471"/>
      <c r="D69" s="471"/>
      <c r="E69" s="471"/>
      <c r="F69" s="567" t="s">
        <v>42</v>
      </c>
      <c r="G69" s="483" t="s">
        <v>83</v>
      </c>
      <c r="H69" s="571" t="str">
        <f t="shared" ref="H69" si="19">$D$18</f>
        <v>BLACK</v>
      </c>
      <c r="I69" s="572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71" t="s">
        <v>82</v>
      </c>
      <c r="C70" s="471"/>
      <c r="D70" s="471"/>
      <c r="E70" s="471"/>
      <c r="F70" s="493" t="s">
        <v>42</v>
      </c>
      <c r="G70" s="494" t="s">
        <v>83</v>
      </c>
      <c r="H70" s="492" t="str">
        <f t="shared" ref="H70" si="21">$D$23</f>
        <v>GREY HEATHER</v>
      </c>
      <c r="I70" s="492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71" t="s">
        <v>82</v>
      </c>
      <c r="C71" s="471"/>
      <c r="D71" s="471"/>
      <c r="E71" s="471"/>
      <c r="F71" s="482" t="s">
        <v>42</v>
      </c>
      <c r="G71" s="484" t="s">
        <v>83</v>
      </c>
      <c r="H71" s="569" t="str">
        <f t="shared" ref="H71" si="23">$D$28</f>
        <v>WASHED BURGUNDY</v>
      </c>
      <c r="I71" s="570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71" t="s">
        <v>82</v>
      </c>
      <c r="C72" s="471"/>
      <c r="D72" s="471"/>
      <c r="E72" s="471"/>
      <c r="F72" s="548" t="s">
        <v>42</v>
      </c>
      <c r="G72" s="568" t="s">
        <v>83</v>
      </c>
      <c r="H72" s="472" t="str">
        <f t="shared" ref="H72" si="25">$D$33</f>
        <v>LIME</v>
      </c>
      <c r="I72" s="473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80" t="s">
        <v>84</v>
      </c>
      <c r="C73" s="471"/>
      <c r="D73" s="471"/>
      <c r="E73" s="471"/>
      <c r="F73" s="567" t="s">
        <v>85</v>
      </c>
      <c r="G73" s="483" t="s">
        <v>86</v>
      </c>
      <c r="H73" s="571" t="str">
        <f t="shared" ref="H73" si="27">$D$18</f>
        <v>BLACK</v>
      </c>
      <c r="I73" s="572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80" t="s">
        <v>84</v>
      </c>
      <c r="C74" s="471"/>
      <c r="D74" s="471"/>
      <c r="E74" s="471"/>
      <c r="F74" s="493"/>
      <c r="G74" s="494"/>
      <c r="H74" s="492" t="str">
        <f t="shared" ref="H74" si="30">$D$23</f>
        <v>GREY HEATHER</v>
      </c>
      <c r="I74" s="492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80" t="s">
        <v>84</v>
      </c>
      <c r="C75" s="471"/>
      <c r="D75" s="471"/>
      <c r="E75" s="471"/>
      <c r="F75" s="482"/>
      <c r="G75" s="484"/>
      <c r="H75" s="569" t="str">
        <f t="shared" ref="H75" si="32">$D$28</f>
        <v>WASHED BURGUNDY</v>
      </c>
      <c r="I75" s="570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80" t="s">
        <v>84</v>
      </c>
      <c r="C76" s="471"/>
      <c r="D76" s="471"/>
      <c r="E76" s="471"/>
      <c r="F76" s="548"/>
      <c r="G76" s="568"/>
      <c r="H76" s="472" t="str">
        <f t="shared" ref="H76" si="34">$D$33</f>
        <v>LIME</v>
      </c>
      <c r="I76" s="473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80" t="s">
        <v>88</v>
      </c>
      <c r="C77" s="471"/>
      <c r="D77" s="471"/>
      <c r="E77" s="471"/>
      <c r="F77" s="567" t="s">
        <v>85</v>
      </c>
      <c r="G77" s="483" t="s">
        <v>89</v>
      </c>
      <c r="H77" s="571" t="str">
        <f t="shared" ref="H77" si="36">$D$18</f>
        <v>BLACK</v>
      </c>
      <c r="I77" s="572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80" t="s">
        <v>88</v>
      </c>
      <c r="C78" s="471"/>
      <c r="D78" s="471"/>
      <c r="E78" s="471"/>
      <c r="F78" s="493"/>
      <c r="G78" s="494"/>
      <c r="H78" s="492" t="str">
        <f t="shared" ref="H78" si="38">$D$23</f>
        <v>GREY HEATHER</v>
      </c>
      <c r="I78" s="492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80" t="s">
        <v>88</v>
      </c>
      <c r="C79" s="471"/>
      <c r="D79" s="471"/>
      <c r="E79" s="471"/>
      <c r="F79" s="482"/>
      <c r="G79" s="484"/>
      <c r="H79" s="569" t="str">
        <f t="shared" ref="H79" si="40">$D$28</f>
        <v>WASHED BURGUNDY</v>
      </c>
      <c r="I79" s="570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80" t="s">
        <v>88</v>
      </c>
      <c r="C80" s="471"/>
      <c r="D80" s="471"/>
      <c r="E80" s="471"/>
      <c r="F80" s="548"/>
      <c r="G80" s="568"/>
      <c r="H80" s="472" t="str">
        <f t="shared" ref="H80" si="42">$D$33</f>
        <v>LIME</v>
      </c>
      <c r="I80" s="473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80" t="s">
        <v>90</v>
      </c>
      <c r="C81" s="471"/>
      <c r="D81" s="471"/>
      <c r="E81" s="471"/>
      <c r="F81" s="567" t="s">
        <v>91</v>
      </c>
      <c r="G81" s="483"/>
      <c r="H81" s="571" t="str">
        <f t="shared" ref="H81" si="44">$D$18</f>
        <v>BLACK</v>
      </c>
      <c r="I81" s="572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80" t="s">
        <v>90</v>
      </c>
      <c r="C82" s="471"/>
      <c r="D82" s="471"/>
      <c r="E82" s="471"/>
      <c r="F82" s="493"/>
      <c r="G82" s="494"/>
      <c r="H82" s="492" t="str">
        <f t="shared" ref="H82" si="46">$D$23</f>
        <v>GREY HEATHER</v>
      </c>
      <c r="I82" s="492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80" t="s">
        <v>90</v>
      </c>
      <c r="C83" s="471"/>
      <c r="D83" s="471"/>
      <c r="E83" s="471"/>
      <c r="F83" s="482"/>
      <c r="G83" s="484"/>
      <c r="H83" s="569" t="str">
        <f t="shared" ref="H83" si="48">$D$28</f>
        <v>WASHED BURGUNDY</v>
      </c>
      <c r="I83" s="570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80" t="s">
        <v>90</v>
      </c>
      <c r="C84" s="471"/>
      <c r="D84" s="471"/>
      <c r="E84" s="471"/>
      <c r="F84" s="548"/>
      <c r="G84" s="568"/>
      <c r="H84" s="472" t="str">
        <f t="shared" ref="H84" si="50">$D$33</f>
        <v>LIME</v>
      </c>
      <c r="I84" s="473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71" t="s">
        <v>92</v>
      </c>
      <c r="C85" s="471"/>
      <c r="D85" s="471"/>
      <c r="E85" s="471"/>
      <c r="F85" s="567" t="s">
        <v>93</v>
      </c>
      <c r="G85" s="483" t="s">
        <v>94</v>
      </c>
      <c r="H85" s="571" t="str">
        <f t="shared" ref="H85" si="52">$D$18</f>
        <v>BLACK</v>
      </c>
      <c r="I85" s="572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71" t="s">
        <v>92</v>
      </c>
      <c r="C86" s="471"/>
      <c r="D86" s="471"/>
      <c r="E86" s="471"/>
      <c r="F86" s="493"/>
      <c r="G86" s="494"/>
      <c r="H86" s="492" t="str">
        <f t="shared" ref="H86" si="55">$D$23</f>
        <v>GREY HEATHER</v>
      </c>
      <c r="I86" s="492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71" t="s">
        <v>92</v>
      </c>
      <c r="C87" s="471"/>
      <c r="D87" s="471"/>
      <c r="E87" s="471"/>
      <c r="F87" s="482"/>
      <c r="G87" s="484"/>
      <c r="H87" s="569" t="str">
        <f t="shared" ref="H87" si="57">$D$28</f>
        <v>WASHED BURGUNDY</v>
      </c>
      <c r="I87" s="570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71" t="s">
        <v>92</v>
      </c>
      <c r="C88" s="471"/>
      <c r="D88" s="471"/>
      <c r="E88" s="471"/>
      <c r="F88" s="548"/>
      <c r="G88" s="568"/>
      <c r="H88" s="472" t="str">
        <f t="shared" ref="H88" si="59">$D$33</f>
        <v>LIME</v>
      </c>
      <c r="I88" s="473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66" t="s">
        <v>70</v>
      </c>
      <c r="B90" s="467"/>
      <c r="C90" s="467"/>
      <c r="D90" s="467"/>
      <c r="E90" s="468"/>
      <c r="F90" s="84" t="s">
        <v>71</v>
      </c>
      <c r="G90" s="84" t="s">
        <v>72</v>
      </c>
      <c r="H90" s="469" t="s">
        <v>73</v>
      </c>
      <c r="I90" s="470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80" t="s">
        <v>96</v>
      </c>
      <c r="C91" s="471"/>
      <c r="D91" s="471"/>
      <c r="E91" s="471"/>
      <c r="F91" s="567" t="s">
        <v>91</v>
      </c>
      <c r="G91" s="483" t="s">
        <v>97</v>
      </c>
      <c r="H91" s="472" t="str">
        <f t="shared" ref="H91" si="61">$D$18</f>
        <v>BLACK</v>
      </c>
      <c r="I91" s="473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80" t="s">
        <v>96</v>
      </c>
      <c r="C92" s="471"/>
      <c r="D92" s="471"/>
      <c r="E92" s="471"/>
      <c r="F92" s="482"/>
      <c r="G92" s="484"/>
      <c r="H92" s="472" t="str">
        <f t="shared" ref="H92" si="66">$D$23</f>
        <v>GREY HEATHER</v>
      </c>
      <c r="I92" s="473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80" t="s">
        <v>96</v>
      </c>
      <c r="C93" s="471"/>
      <c r="D93" s="471"/>
      <c r="E93" s="471"/>
      <c r="F93" s="482"/>
      <c r="G93" s="484"/>
      <c r="H93" s="472" t="str">
        <f t="shared" ref="H93" si="68">$D$28</f>
        <v>WASHED BURGUNDY</v>
      </c>
      <c r="I93" s="473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80" t="s">
        <v>96</v>
      </c>
      <c r="C94" s="471"/>
      <c r="D94" s="471"/>
      <c r="E94" s="471"/>
      <c r="F94" s="548"/>
      <c r="G94" s="568"/>
      <c r="H94" s="472" t="str">
        <f t="shared" ref="H94" si="70">$D$33</f>
        <v>LIME</v>
      </c>
      <c r="I94" s="473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522" t="s">
        <v>98</v>
      </c>
      <c r="C95" s="566"/>
      <c r="D95" s="566"/>
      <c r="E95" s="523"/>
      <c r="F95" s="567" t="s">
        <v>91</v>
      </c>
      <c r="G95" s="483" t="s">
        <v>97</v>
      </c>
      <c r="H95" s="472" t="str">
        <f t="shared" ref="H95:H123" si="72">$D$18</f>
        <v>BLACK</v>
      </c>
      <c r="I95" s="473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22" t="s">
        <v>98</v>
      </c>
      <c r="C96" s="566"/>
      <c r="D96" s="566"/>
      <c r="E96" s="523"/>
      <c r="F96" s="482"/>
      <c r="G96" s="484"/>
      <c r="H96" s="472" t="str">
        <f t="shared" ref="H96:H124" si="73">$D$23</f>
        <v>GREY HEATHER</v>
      </c>
      <c r="I96" s="473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522" t="s">
        <v>98</v>
      </c>
      <c r="C97" s="566"/>
      <c r="D97" s="566"/>
      <c r="E97" s="523"/>
      <c r="F97" s="482"/>
      <c r="G97" s="484"/>
      <c r="H97" s="472" t="str">
        <f t="shared" ref="H97:H121" si="74">$D$28</f>
        <v>WASHED BURGUNDY</v>
      </c>
      <c r="I97" s="473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522" t="s">
        <v>98</v>
      </c>
      <c r="C98" s="566"/>
      <c r="D98" s="566"/>
      <c r="E98" s="523"/>
      <c r="F98" s="548"/>
      <c r="G98" s="568"/>
      <c r="H98" s="472" t="str">
        <f t="shared" ref="H98:H122" si="76">$D$33</f>
        <v>LIME</v>
      </c>
      <c r="I98" s="473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522" t="s">
        <v>99</v>
      </c>
      <c r="C99" s="566"/>
      <c r="D99" s="566"/>
      <c r="E99" s="523"/>
      <c r="F99" s="567" t="s">
        <v>100</v>
      </c>
      <c r="G99" s="483" t="s">
        <v>101</v>
      </c>
      <c r="H99" s="472" t="str">
        <f t="shared" si="72"/>
        <v>BLACK</v>
      </c>
      <c r="I99" s="473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22" t="s">
        <v>99</v>
      </c>
      <c r="C100" s="566"/>
      <c r="D100" s="566"/>
      <c r="E100" s="523"/>
      <c r="F100" s="482"/>
      <c r="G100" s="484"/>
      <c r="H100" s="472" t="str">
        <f t="shared" si="73"/>
        <v>GREY HEATHER</v>
      </c>
      <c r="I100" s="473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522" t="s">
        <v>99</v>
      </c>
      <c r="C101" s="566"/>
      <c r="D101" s="566"/>
      <c r="E101" s="523"/>
      <c r="F101" s="482"/>
      <c r="G101" s="484"/>
      <c r="H101" s="472" t="str">
        <f t="shared" si="74"/>
        <v>WASHED BURGUNDY</v>
      </c>
      <c r="I101" s="473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522" t="s">
        <v>99</v>
      </c>
      <c r="C102" s="566"/>
      <c r="D102" s="566"/>
      <c r="E102" s="523"/>
      <c r="F102" s="548"/>
      <c r="G102" s="568"/>
      <c r="H102" s="472" t="str">
        <f t="shared" si="76"/>
        <v>LIME</v>
      </c>
      <c r="I102" s="473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522" t="s">
        <v>102</v>
      </c>
      <c r="C103" s="566"/>
      <c r="D103" s="566"/>
      <c r="E103" s="523"/>
      <c r="F103" s="183" t="s">
        <v>103</v>
      </c>
      <c r="G103" s="183"/>
      <c r="H103" s="472" t="str">
        <f t="shared" si="72"/>
        <v>BLACK</v>
      </c>
      <c r="I103" s="473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22" t="s">
        <v>102</v>
      </c>
      <c r="C104" s="566"/>
      <c r="D104" s="566"/>
      <c r="E104" s="523"/>
      <c r="F104" s="183" t="s">
        <v>103</v>
      </c>
      <c r="G104" s="183"/>
      <c r="H104" s="472" t="str">
        <f t="shared" si="73"/>
        <v>GREY HEATHER</v>
      </c>
      <c r="I104" s="473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522" t="s">
        <v>102</v>
      </c>
      <c r="C105" s="566"/>
      <c r="D105" s="566"/>
      <c r="E105" s="523"/>
      <c r="F105" s="183" t="s">
        <v>103</v>
      </c>
      <c r="G105" s="183"/>
      <c r="H105" s="472" t="str">
        <f t="shared" si="74"/>
        <v>WASHED BURGUNDY</v>
      </c>
      <c r="I105" s="473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522" t="s">
        <v>102</v>
      </c>
      <c r="C106" s="566"/>
      <c r="D106" s="566"/>
      <c r="E106" s="523"/>
      <c r="F106" s="183" t="s">
        <v>103</v>
      </c>
      <c r="G106" s="183"/>
      <c r="H106" s="472" t="str">
        <f t="shared" si="76"/>
        <v>LIME</v>
      </c>
      <c r="I106" s="473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80" t="s">
        <v>104</v>
      </c>
      <c r="C107" s="471"/>
      <c r="D107" s="471"/>
      <c r="E107" s="471"/>
      <c r="F107" s="183" t="s">
        <v>105</v>
      </c>
      <c r="G107" s="183"/>
      <c r="H107" s="472" t="str">
        <f t="shared" si="72"/>
        <v>BLACK</v>
      </c>
      <c r="I107" s="473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80" t="s">
        <v>104</v>
      </c>
      <c r="C108" s="471"/>
      <c r="D108" s="471"/>
      <c r="E108" s="471"/>
      <c r="F108" s="183" t="s">
        <v>105</v>
      </c>
      <c r="G108" s="183"/>
      <c r="H108" s="472" t="str">
        <f t="shared" si="73"/>
        <v>GREY HEATHER</v>
      </c>
      <c r="I108" s="473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80" t="s">
        <v>104</v>
      </c>
      <c r="C109" s="471"/>
      <c r="D109" s="471"/>
      <c r="E109" s="471"/>
      <c r="F109" s="183" t="s">
        <v>105</v>
      </c>
      <c r="G109" s="183"/>
      <c r="H109" s="472" t="str">
        <f t="shared" si="74"/>
        <v>WASHED BURGUNDY</v>
      </c>
      <c r="I109" s="473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80" t="s">
        <v>104</v>
      </c>
      <c r="C110" s="471"/>
      <c r="D110" s="471"/>
      <c r="E110" s="471"/>
      <c r="F110" s="183" t="s">
        <v>105</v>
      </c>
      <c r="G110" s="183"/>
      <c r="H110" s="472" t="str">
        <f t="shared" si="76"/>
        <v>LIME</v>
      </c>
      <c r="I110" s="473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80" t="s">
        <v>106</v>
      </c>
      <c r="C111" s="471"/>
      <c r="D111" s="471"/>
      <c r="E111" s="471"/>
      <c r="F111" s="183" t="s">
        <v>105</v>
      </c>
      <c r="G111" s="183"/>
      <c r="H111" s="472" t="str">
        <f t="shared" si="72"/>
        <v>BLACK</v>
      </c>
      <c r="I111" s="473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80" t="s">
        <v>106</v>
      </c>
      <c r="C112" s="471"/>
      <c r="D112" s="471"/>
      <c r="E112" s="471"/>
      <c r="F112" s="183" t="s">
        <v>105</v>
      </c>
      <c r="G112" s="183"/>
      <c r="H112" s="472" t="str">
        <f t="shared" si="73"/>
        <v>GREY HEATHER</v>
      </c>
      <c r="I112" s="473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80" t="s">
        <v>106</v>
      </c>
      <c r="C113" s="471"/>
      <c r="D113" s="471"/>
      <c r="E113" s="471"/>
      <c r="F113" s="183" t="s">
        <v>105</v>
      </c>
      <c r="G113" s="183"/>
      <c r="H113" s="472" t="str">
        <f t="shared" si="74"/>
        <v>WASHED BURGUNDY</v>
      </c>
      <c r="I113" s="473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80" t="s">
        <v>106</v>
      </c>
      <c r="C114" s="471"/>
      <c r="D114" s="471"/>
      <c r="E114" s="471"/>
      <c r="F114" s="183" t="s">
        <v>105</v>
      </c>
      <c r="G114" s="183"/>
      <c r="H114" s="472" t="str">
        <f t="shared" si="76"/>
        <v>LIME</v>
      </c>
      <c r="I114" s="473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80" t="s">
        <v>107</v>
      </c>
      <c r="C115" s="471"/>
      <c r="D115" s="471"/>
      <c r="E115" s="471"/>
      <c r="F115" s="183" t="s">
        <v>103</v>
      </c>
      <c r="G115" s="183"/>
      <c r="H115" s="472" t="str">
        <f t="shared" si="72"/>
        <v>BLACK</v>
      </c>
      <c r="I115" s="473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80" t="s">
        <v>107</v>
      </c>
      <c r="C116" s="471"/>
      <c r="D116" s="471"/>
      <c r="E116" s="471"/>
      <c r="F116" s="183" t="s">
        <v>103</v>
      </c>
      <c r="G116" s="183"/>
      <c r="H116" s="472" t="str">
        <f t="shared" si="73"/>
        <v>GREY HEATHER</v>
      </c>
      <c r="I116" s="473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80" t="s">
        <v>107</v>
      </c>
      <c r="C117" s="471"/>
      <c r="D117" s="471"/>
      <c r="E117" s="471"/>
      <c r="F117" s="183" t="s">
        <v>103</v>
      </c>
      <c r="G117" s="183"/>
      <c r="H117" s="472" t="str">
        <f t="shared" si="74"/>
        <v>WASHED BURGUNDY</v>
      </c>
      <c r="I117" s="473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80" t="s">
        <v>107</v>
      </c>
      <c r="C118" s="471"/>
      <c r="D118" s="471"/>
      <c r="E118" s="471"/>
      <c r="F118" s="183" t="s">
        <v>103</v>
      </c>
      <c r="G118" s="183"/>
      <c r="H118" s="472" t="str">
        <f t="shared" si="76"/>
        <v>LIME</v>
      </c>
      <c r="I118" s="473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522" t="s">
        <v>108</v>
      </c>
      <c r="C119" s="566"/>
      <c r="D119" s="566"/>
      <c r="E119" s="523"/>
      <c r="F119" s="183" t="s">
        <v>109</v>
      </c>
      <c r="G119" s="183"/>
      <c r="H119" s="472" t="str">
        <f t="shared" si="72"/>
        <v>BLACK</v>
      </c>
      <c r="I119" s="473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80" t="s">
        <v>108</v>
      </c>
      <c r="C120" s="471"/>
      <c r="D120" s="471"/>
      <c r="E120" s="471"/>
      <c r="F120" s="183" t="s">
        <v>109</v>
      </c>
      <c r="G120" s="183"/>
      <c r="H120" s="472" t="str">
        <f t="shared" si="73"/>
        <v>GREY HEATHER</v>
      </c>
      <c r="I120" s="473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80" t="s">
        <v>108</v>
      </c>
      <c r="C121" s="471"/>
      <c r="D121" s="471"/>
      <c r="E121" s="471"/>
      <c r="F121" s="183" t="s">
        <v>109</v>
      </c>
      <c r="G121" s="183"/>
      <c r="H121" s="472" t="str">
        <f t="shared" si="74"/>
        <v>WASHED BURGUNDY</v>
      </c>
      <c r="I121" s="473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80" t="s">
        <v>108</v>
      </c>
      <c r="C122" s="471"/>
      <c r="D122" s="471"/>
      <c r="E122" s="471"/>
      <c r="F122" s="183" t="s">
        <v>109</v>
      </c>
      <c r="G122" s="183"/>
      <c r="H122" s="472" t="str">
        <f t="shared" si="76"/>
        <v>LIME</v>
      </c>
      <c r="I122" s="473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80" t="s">
        <v>110</v>
      </c>
      <c r="C123" s="471"/>
      <c r="D123" s="471"/>
      <c r="E123" s="471"/>
      <c r="F123" s="183" t="s">
        <v>103</v>
      </c>
      <c r="G123" s="183"/>
      <c r="H123" s="472" t="str">
        <f t="shared" si="72"/>
        <v>BLACK</v>
      </c>
      <c r="I123" s="473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22" t="s">
        <v>110</v>
      </c>
      <c r="C124" s="566"/>
      <c r="D124" s="566"/>
      <c r="E124" s="523"/>
      <c r="F124" s="183" t="s">
        <v>103</v>
      </c>
      <c r="G124" s="183"/>
      <c r="H124" s="472" t="str">
        <f t="shared" si="73"/>
        <v>GREY HEATHER</v>
      </c>
      <c r="I124" s="473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522" t="s">
        <v>110</v>
      </c>
      <c r="C125" s="566"/>
      <c r="D125" s="566"/>
      <c r="E125" s="523"/>
      <c r="F125" s="183" t="s">
        <v>103</v>
      </c>
      <c r="G125" s="183"/>
      <c r="H125" s="472" t="str">
        <f>$D$28</f>
        <v>WASHED BURGUNDY</v>
      </c>
      <c r="I125" s="473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522" t="s">
        <v>110</v>
      </c>
      <c r="C126" s="566"/>
      <c r="D126" s="566"/>
      <c r="E126" s="523"/>
      <c r="F126" s="183" t="s">
        <v>103</v>
      </c>
      <c r="G126" s="183"/>
      <c r="H126" s="472" t="str">
        <f>$D$33</f>
        <v>LIME</v>
      </c>
      <c r="I126" s="473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80" t="s">
        <v>145</v>
      </c>
      <c r="C127" s="471"/>
      <c r="D127" s="471"/>
      <c r="E127" s="471"/>
      <c r="F127" s="564" t="s">
        <v>146</v>
      </c>
      <c r="G127" s="183"/>
      <c r="H127" s="565" t="s">
        <v>147</v>
      </c>
      <c r="I127" s="473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80" t="s">
        <v>145</v>
      </c>
      <c r="C128" s="471"/>
      <c r="D128" s="471"/>
      <c r="E128" s="471"/>
      <c r="F128" s="564"/>
      <c r="G128" s="183"/>
      <c r="H128" s="565" t="s">
        <v>148</v>
      </c>
      <c r="I128" s="473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80" t="s">
        <v>145</v>
      </c>
      <c r="C129" s="471"/>
      <c r="D129" s="471"/>
      <c r="E129" s="471"/>
      <c r="F129" s="564"/>
      <c r="G129" s="183"/>
      <c r="H129" s="565" t="s">
        <v>149</v>
      </c>
      <c r="I129" s="473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80" t="s">
        <v>145</v>
      </c>
      <c r="C130" s="471"/>
      <c r="D130" s="471"/>
      <c r="E130" s="471"/>
      <c r="F130" s="564"/>
      <c r="G130" s="183"/>
      <c r="H130" s="565">
        <v>41</v>
      </c>
      <c r="I130" s="473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80" t="s">
        <v>145</v>
      </c>
      <c r="C131" s="471"/>
      <c r="D131" s="471"/>
      <c r="E131" s="471"/>
      <c r="F131" s="564"/>
      <c r="G131" s="183"/>
      <c r="H131" s="472">
        <v>42</v>
      </c>
      <c r="I131" s="473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508" t="s">
        <v>112</v>
      </c>
      <c r="K133" s="508"/>
      <c r="L133" s="508"/>
      <c r="M133" s="508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09" t="s">
        <v>115</v>
      </c>
      <c r="C135" s="510"/>
      <c r="D135" s="510"/>
      <c r="E135" s="510"/>
      <c r="F135" s="510"/>
      <c r="G135" s="510"/>
      <c r="H135" s="510"/>
      <c r="I135" s="511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58" t="s">
        <v>151</v>
      </c>
      <c r="E136" s="558"/>
      <c r="F136" s="558" t="s">
        <v>152</v>
      </c>
      <c r="G136" s="558"/>
      <c r="H136" s="558"/>
      <c r="I136" s="55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59" t="s">
        <v>153</v>
      </c>
      <c r="D137" s="561" t="s">
        <v>154</v>
      </c>
      <c r="E137" s="562"/>
      <c r="F137" s="563" t="s">
        <v>155</v>
      </c>
      <c r="G137" s="563"/>
      <c r="H137" s="563"/>
      <c r="I137" s="563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60"/>
      <c r="D138" s="517" t="s">
        <v>156</v>
      </c>
      <c r="E138" s="519"/>
      <c r="F138" s="563" t="s">
        <v>157</v>
      </c>
      <c r="G138" s="563"/>
      <c r="H138" s="563"/>
      <c r="I138" s="563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509"/>
      <c r="C140" s="510"/>
      <c r="D140" s="520"/>
      <c r="E140" s="520"/>
      <c r="F140" s="520"/>
      <c r="G140" s="520"/>
      <c r="H140" s="520"/>
      <c r="I140" s="521"/>
      <c r="J140" s="35"/>
      <c r="K140" s="35"/>
    </row>
    <row r="141" spans="1:16" s="15" customFormat="1" ht="28" hidden="1">
      <c r="A141" s="92"/>
      <c r="B141" s="522"/>
      <c r="C141" s="523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24" t="s">
        <v>158</v>
      </c>
      <c r="C142" s="524"/>
      <c r="D142" s="257"/>
      <c r="E142" s="257">
        <v>2.2000000000000002</v>
      </c>
      <c r="F142" s="525">
        <v>3</v>
      </c>
      <c r="G142" s="526"/>
      <c r="H142" s="526"/>
      <c r="I142" s="52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540" t="s">
        <v>120</v>
      </c>
      <c r="D144" s="540"/>
      <c r="E144" s="540"/>
      <c r="F144" s="540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509" t="s">
        <v>115</v>
      </c>
      <c r="C145" s="510"/>
      <c r="D145" s="510"/>
      <c r="E145" s="510"/>
      <c r="F145" s="510"/>
      <c r="G145" s="510"/>
      <c r="H145" s="510"/>
      <c r="I145" s="511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14" t="s">
        <v>116</v>
      </c>
      <c r="F146" s="515"/>
      <c r="G146" s="515"/>
      <c r="H146" s="515"/>
      <c r="I146" s="516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17" t="s">
        <v>122</v>
      </c>
      <c r="F147" s="518"/>
      <c r="G147" s="518"/>
      <c r="H147" s="518"/>
      <c r="I147" s="519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17" t="s">
        <v>163</v>
      </c>
      <c r="F148" s="518"/>
      <c r="G148" s="518"/>
      <c r="H148" s="518"/>
      <c r="I148" s="519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17" t="s">
        <v>122</v>
      </c>
      <c r="F149" s="518"/>
      <c r="G149" s="518"/>
      <c r="H149" s="518"/>
      <c r="I149" s="519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17" t="s">
        <v>122</v>
      </c>
      <c r="F150" s="518"/>
      <c r="G150" s="518"/>
      <c r="H150" s="518"/>
      <c r="I150" s="519"/>
      <c r="J150" s="35"/>
      <c r="K150" s="35"/>
      <c r="L150" s="35"/>
      <c r="M150" s="35"/>
      <c r="N150" s="35"/>
    </row>
    <row r="151" spans="1:16" s="15" customFormat="1" ht="28">
      <c r="A151" s="92"/>
      <c r="B151" s="509" t="s">
        <v>123</v>
      </c>
      <c r="C151" s="510"/>
      <c r="D151" s="520"/>
      <c r="E151" s="520"/>
      <c r="F151" s="520"/>
      <c r="G151" s="520"/>
      <c r="H151" s="520"/>
      <c r="I151" s="521"/>
      <c r="J151" s="35"/>
      <c r="K151" s="35"/>
    </row>
    <row r="152" spans="1:16" s="15" customFormat="1" ht="56.25" customHeight="1">
      <c r="A152" s="92"/>
      <c r="B152" s="522"/>
      <c r="C152" s="523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5" t="s">
        <v>164</v>
      </c>
      <c r="C153" s="556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5" t="s">
        <v>165</v>
      </c>
      <c r="C154" s="556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12" t="s">
        <v>166</v>
      </c>
      <c r="D157" s="557"/>
      <c r="E157" s="557"/>
      <c r="F157" s="557"/>
      <c r="G157" s="557"/>
      <c r="H157" s="557"/>
      <c r="I157" s="51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17" t="s">
        <v>167</v>
      </c>
      <c r="D158" s="518"/>
      <c r="E158" s="518"/>
      <c r="F158" s="518"/>
      <c r="G158" s="518"/>
      <c r="H158" s="518"/>
      <c r="I158" s="519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17" t="s">
        <v>168</v>
      </c>
      <c r="D159" s="518"/>
      <c r="E159" s="518"/>
      <c r="F159" s="518"/>
      <c r="G159" s="518"/>
      <c r="H159" s="518"/>
      <c r="I159" s="519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0" t="s">
        <v>167</v>
      </c>
      <c r="D160" s="551"/>
      <c r="E160" s="551"/>
      <c r="F160" s="551"/>
      <c r="G160" s="551"/>
      <c r="H160" s="551"/>
      <c r="I160" s="552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34"/>
      <c r="D161" s="535"/>
      <c r="E161" s="535"/>
      <c r="F161" s="535"/>
      <c r="G161" s="535"/>
      <c r="H161" s="535"/>
      <c r="I161" s="53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37"/>
      <c r="D162" s="538"/>
      <c r="E162" s="538"/>
      <c r="F162" s="538"/>
      <c r="G162" s="538"/>
      <c r="H162" s="538"/>
      <c r="I162" s="539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08" t="s">
        <v>127</v>
      </c>
      <c r="C164" s="508"/>
      <c r="D164" s="508"/>
      <c r="E164" s="50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3"/>
      <c r="B170" s="554"/>
      <c r="C170" s="554"/>
      <c r="D170" s="554"/>
      <c r="E170" s="554"/>
      <c r="F170" s="554"/>
      <c r="G170" s="554"/>
      <c r="H170" s="554"/>
      <c r="I170" s="554"/>
      <c r="J170" s="554"/>
      <c r="K170" s="554"/>
      <c r="L170" s="554"/>
      <c r="M170" s="554"/>
      <c r="N170" s="554"/>
      <c r="O170" s="554"/>
      <c r="P170" s="554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BFFB2-857B-4C4B-9C9E-8048759811B4}">
  <sheetPr>
    <pageSetUpPr fitToPage="1"/>
  </sheetPr>
  <dimension ref="A1:S158"/>
  <sheetViews>
    <sheetView view="pageBreakPreview" topLeftCell="A28" zoomScale="50" zoomScaleNormal="10" zoomScaleSheetLayoutView="50" zoomScalePageLayoutView="25" workbookViewId="0">
      <selection activeCell="G33" sqref="G33:M3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1" t="s">
        <v>0</v>
      </c>
      <c r="O1" s="451" t="s">
        <v>0</v>
      </c>
      <c r="P1" s="452" t="s">
        <v>1</v>
      </c>
      <c r="Q1" s="45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1" t="s">
        <v>2</v>
      </c>
      <c r="O2" s="451" t="s">
        <v>2</v>
      </c>
      <c r="P2" s="453" t="s">
        <v>3</v>
      </c>
      <c r="Q2" s="45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1" t="s">
        <v>4</v>
      </c>
      <c r="O3" s="451" t="s">
        <v>4</v>
      </c>
      <c r="P3" s="454" t="s">
        <v>5</v>
      </c>
      <c r="Q3" s="45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6" t="s">
        <v>958</v>
      </c>
      <c r="H5" s="437"/>
      <c r="I5" s="437"/>
      <c r="J5" s="437"/>
      <c r="K5" s="437"/>
      <c r="L5" s="437"/>
      <c r="M5" s="43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9"/>
      <c r="H6" s="440"/>
      <c r="I6" s="440"/>
      <c r="J6" s="440"/>
      <c r="K6" s="440"/>
      <c r="L6" s="440"/>
      <c r="M6" s="44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934</v>
      </c>
      <c r="E7" s="12"/>
      <c r="F7" s="11"/>
      <c r="G7" s="439"/>
      <c r="H7" s="440"/>
      <c r="I7" s="440"/>
      <c r="J7" s="440"/>
      <c r="K7" s="440"/>
      <c r="L7" s="440"/>
      <c r="M7" s="44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5" t="s">
        <v>779</v>
      </c>
      <c r="E8" s="445"/>
      <c r="F8" s="445"/>
      <c r="G8" s="442"/>
      <c r="H8" s="443"/>
      <c r="I8" s="443"/>
      <c r="J8" s="443"/>
      <c r="K8" s="443"/>
      <c r="L8" s="443"/>
      <c r="M8" s="44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783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6">
        <v>45460</v>
      </c>
      <c r="E11" s="447"/>
      <c r="F11" s="447"/>
      <c r="G11" s="241"/>
      <c r="H11" s="240"/>
      <c r="I11" s="186"/>
      <c r="J11" s="238" t="s">
        <v>20</v>
      </c>
      <c r="K11" s="186"/>
      <c r="L11" s="186"/>
      <c r="M11" s="448" t="s">
        <v>730</v>
      </c>
      <c r="N11" s="448"/>
      <c r="O11" s="448"/>
      <c r="P11" s="448"/>
      <c r="Q11" s="44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9"/>
      <c r="C13" s="449"/>
      <c r="D13" s="449"/>
      <c r="E13" s="449"/>
      <c r="F13" s="44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0" t="s">
        <v>935</v>
      </c>
      <c r="O17" s="450"/>
      <c r="P17" s="450"/>
      <c r="Q17" s="333" t="s">
        <v>40</v>
      </c>
    </row>
    <row r="18" spans="2:17" s="204" customFormat="1" ht="65">
      <c r="B18" s="330" t="s">
        <v>41</v>
      </c>
      <c r="C18" s="331" t="s">
        <v>491</v>
      </c>
      <c r="D18" s="205" t="s">
        <v>940</v>
      </c>
      <c r="E18" s="206"/>
      <c r="F18" s="207"/>
      <c r="G18" s="207">
        <v>1</v>
      </c>
      <c r="H18" s="207">
        <v>3</v>
      </c>
      <c r="I18" s="207">
        <v>5</v>
      </c>
      <c r="J18" s="207">
        <v>8</v>
      </c>
      <c r="K18" s="207">
        <v>6</v>
      </c>
      <c r="L18" s="207">
        <v>4</v>
      </c>
      <c r="M18" s="207">
        <v>1</v>
      </c>
      <c r="N18" s="461" t="s">
        <v>936</v>
      </c>
      <c r="O18" s="461"/>
      <c r="P18" s="461"/>
      <c r="Q18" s="208">
        <f>SUM(E18:P18)</f>
        <v>28</v>
      </c>
    </row>
    <row r="19" spans="2:17" s="204" customFormat="1" ht="65">
      <c r="B19" s="330" t="s">
        <v>43</v>
      </c>
      <c r="C19" s="331" t="str">
        <f>C18</f>
        <v>DB-SS010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61"/>
      <c r="O19" s="461"/>
      <c r="P19" s="461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4</v>
      </c>
      <c r="I21" s="214">
        <f t="shared" si="1"/>
        <v>6</v>
      </c>
      <c r="J21" s="214">
        <f t="shared" si="1"/>
        <v>10</v>
      </c>
      <c r="K21" s="214">
        <f t="shared" si="1"/>
        <v>7</v>
      </c>
      <c r="L21" s="214">
        <f t="shared" si="1"/>
        <v>5</v>
      </c>
      <c r="M21" s="214">
        <f t="shared" si="1"/>
        <v>2</v>
      </c>
      <c r="N21" s="334"/>
      <c r="O21" s="334"/>
      <c r="P21" s="334"/>
      <c r="Q21" s="358">
        <f>SUM(Q18:Q20)</f>
        <v>36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0" t="s">
        <v>935</v>
      </c>
      <c r="O23" s="450"/>
      <c r="P23" s="450"/>
      <c r="Q23" s="333" t="s">
        <v>40</v>
      </c>
    </row>
    <row r="24" spans="2:17" s="204" customFormat="1" ht="65">
      <c r="B24" s="330" t="s">
        <v>41</v>
      </c>
      <c r="C24" s="331" t="s">
        <v>499</v>
      </c>
      <c r="D24" s="205" t="s">
        <v>941</v>
      </c>
      <c r="E24" s="206"/>
      <c r="F24" s="207"/>
      <c r="G24" s="207">
        <v>1</v>
      </c>
      <c r="H24" s="207">
        <v>3</v>
      </c>
      <c r="I24" s="207">
        <v>5</v>
      </c>
      <c r="J24" s="207">
        <v>8</v>
      </c>
      <c r="K24" s="207">
        <v>6</v>
      </c>
      <c r="L24" s="207">
        <v>4</v>
      </c>
      <c r="M24" s="207">
        <v>1</v>
      </c>
      <c r="N24" s="455" t="s">
        <v>937</v>
      </c>
      <c r="O24" s="455"/>
      <c r="P24" s="455"/>
      <c r="Q24" s="208">
        <f>SUM(E24:P24)</f>
        <v>28</v>
      </c>
    </row>
    <row r="25" spans="2:17" s="204" customFormat="1" ht="65">
      <c r="B25" s="330" t="s">
        <v>43</v>
      </c>
      <c r="C25" s="331" t="str">
        <f>C24</f>
        <v>DB-SS011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55"/>
      <c r="O25" s="455"/>
      <c r="P25" s="455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:M27" si="3">SUM(H24:H26)</f>
        <v>4</v>
      </c>
      <c r="I27" s="214">
        <f t="shared" si="3"/>
        <v>6</v>
      </c>
      <c r="J27" s="214">
        <f t="shared" si="3"/>
        <v>10</v>
      </c>
      <c r="K27" s="214">
        <f t="shared" si="3"/>
        <v>7</v>
      </c>
      <c r="L27" s="214">
        <f t="shared" si="3"/>
        <v>5</v>
      </c>
      <c r="M27" s="214">
        <f t="shared" si="3"/>
        <v>2</v>
      </c>
      <c r="N27" s="334"/>
      <c r="O27" s="334"/>
      <c r="P27" s="334"/>
      <c r="Q27" s="358">
        <f>SUM(Q24:Q26)</f>
        <v>36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0" t="s">
        <v>935</v>
      </c>
      <c r="O29" s="450"/>
      <c r="P29" s="450"/>
      <c r="Q29" s="333" t="s">
        <v>40</v>
      </c>
    </row>
    <row r="30" spans="2:17" s="204" customFormat="1" ht="65">
      <c r="B30" s="330" t="s">
        <v>41</v>
      </c>
      <c r="C30" s="331" t="s">
        <v>507</v>
      </c>
      <c r="D30" s="205" t="s">
        <v>942</v>
      </c>
      <c r="E30" s="206"/>
      <c r="F30" s="207"/>
      <c r="G30" s="207">
        <v>1</v>
      </c>
      <c r="H30" s="207">
        <v>3</v>
      </c>
      <c r="I30" s="207">
        <v>5</v>
      </c>
      <c r="J30" s="207">
        <v>8</v>
      </c>
      <c r="K30" s="207">
        <v>6</v>
      </c>
      <c r="L30" s="207">
        <v>4</v>
      </c>
      <c r="M30" s="207">
        <v>1</v>
      </c>
      <c r="N30" s="455" t="s">
        <v>938</v>
      </c>
      <c r="O30" s="455"/>
      <c r="P30" s="455"/>
      <c r="Q30" s="208">
        <f>SUM(E30:P30)</f>
        <v>28</v>
      </c>
    </row>
    <row r="31" spans="2:17" s="204" customFormat="1" ht="65">
      <c r="B31" s="330" t="s">
        <v>43</v>
      </c>
      <c r="C31" s="331" t="str">
        <f>C30</f>
        <v>DB-SS012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55"/>
      <c r="O31" s="455"/>
      <c r="P31" s="455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92" t="str">
        <f>+D31</f>
        <v>SANDSTONE</v>
      </c>
      <c r="E33" s="592"/>
      <c r="F33" s="592"/>
      <c r="G33" s="214">
        <f>SUM(G30:G32)</f>
        <v>2</v>
      </c>
      <c r="H33" s="214">
        <f t="shared" ref="H33:M33" si="5">SUM(H30:H32)</f>
        <v>4</v>
      </c>
      <c r="I33" s="214">
        <f t="shared" si="5"/>
        <v>6</v>
      </c>
      <c r="J33" s="214">
        <f t="shared" si="5"/>
        <v>10</v>
      </c>
      <c r="K33" s="214">
        <f t="shared" si="5"/>
        <v>7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58">
        <f>SUM(Q30:Q32)</f>
        <v>36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6">H21++H33+H27</f>
        <v>12</v>
      </c>
      <c r="I35" s="228">
        <f t="shared" si="6"/>
        <v>18</v>
      </c>
      <c r="J35" s="228">
        <f t="shared" si="6"/>
        <v>30</v>
      </c>
      <c r="K35" s="228">
        <f t="shared" si="6"/>
        <v>21</v>
      </c>
      <c r="L35" s="228">
        <f t="shared" si="6"/>
        <v>15</v>
      </c>
      <c r="M35" s="228">
        <f t="shared" si="6"/>
        <v>6</v>
      </c>
      <c r="N35" s="228"/>
      <c r="O35" s="228"/>
      <c r="P35" s="228"/>
      <c r="Q35" s="228">
        <f>Q21++Q33+Q27</f>
        <v>108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57" t="s">
        <v>939</v>
      </c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</row>
    <row r="38" spans="1:19" s="99" customFormat="1" ht="72.75" customHeight="1">
      <c r="B38" s="457" t="s">
        <v>743</v>
      </c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</row>
    <row r="39" spans="1:19" s="99" customFormat="1" ht="72.75" hidden="1" customHeight="1">
      <c r="B39" s="458" t="s">
        <v>769</v>
      </c>
      <c r="C39" s="458"/>
      <c r="D39" s="458"/>
      <c r="E39" s="458"/>
      <c r="F39" s="458"/>
      <c r="G39" s="458"/>
      <c r="H39" s="458"/>
      <c r="I39" s="458"/>
      <c r="J39" s="458"/>
      <c r="K39" s="458"/>
      <c r="L39" s="458"/>
      <c r="M39" s="458"/>
      <c r="N39" s="458"/>
      <c r="O39" s="458"/>
      <c r="P39" s="458"/>
      <c r="Q39" s="458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59" t="s">
        <v>52</v>
      </c>
      <c r="B41" s="459"/>
      <c r="C41" s="459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0" t="s">
        <v>63</v>
      </c>
      <c r="O41" s="460"/>
      <c r="P41" s="460"/>
      <c r="Q41" s="460"/>
    </row>
    <row r="42" spans="1:19" s="34" customFormat="1" ht="45.75" customHeight="1">
      <c r="A42" s="464" t="str">
        <f>UPPER(D21)</f>
        <v>DOVE</v>
      </c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</row>
    <row r="43" spans="1:19" s="128" customFormat="1" ht="138" customHeight="1">
      <c r="A43" s="129">
        <v>1</v>
      </c>
      <c r="B43" s="465" t="str">
        <f>$M$11</f>
        <v>100%COTTON SEMI BRUSHED (20/1+20/1+10/2) washing_ 14GG _460GSM</v>
      </c>
      <c r="C43" s="465"/>
      <c r="D43" s="195" t="s">
        <v>64</v>
      </c>
      <c r="E43" s="195" t="str">
        <f>$N$18</f>
        <v>ASH - BC01</v>
      </c>
      <c r="F43" s="129" t="s">
        <v>36</v>
      </c>
      <c r="G43" s="196">
        <f>$Q$21</f>
        <v>36</v>
      </c>
      <c r="H43" s="357">
        <v>1.75</v>
      </c>
      <c r="I43" s="179">
        <f>H43*G43</f>
        <v>63</v>
      </c>
      <c r="J43" s="188">
        <f>I43*3.5%+(I43/50)*0.5</f>
        <v>2.835</v>
      </c>
      <c r="K43" s="188">
        <v>0</v>
      </c>
      <c r="L43" s="188">
        <v>0</v>
      </c>
      <c r="M43" s="338">
        <f>ROUND(I43+J43,0)</f>
        <v>66</v>
      </c>
      <c r="N43" s="463" t="s">
        <v>943</v>
      </c>
      <c r="O43" s="463"/>
      <c r="P43" s="463"/>
      <c r="Q43" s="463"/>
      <c r="S43" s="356" t="s">
        <v>933</v>
      </c>
    </row>
    <row r="44" spans="1:19" s="128" customFormat="1" ht="93" customHeight="1">
      <c r="A44" s="129">
        <v>2</v>
      </c>
      <c r="B44" s="465" t="s">
        <v>771</v>
      </c>
      <c r="C44" s="465"/>
      <c r="D44" s="195" t="s">
        <v>780</v>
      </c>
      <c r="E44" s="195" t="str">
        <f t="shared" ref="E44:E45" si="7">$N$18</f>
        <v>ASH - BC01</v>
      </c>
      <c r="F44" s="129" t="s">
        <v>36</v>
      </c>
      <c r="G44" s="196">
        <f>$Q$21</f>
        <v>36</v>
      </c>
      <c r="H44" s="357">
        <v>0.23</v>
      </c>
      <c r="I44" s="179">
        <f>H44*G44</f>
        <v>8.2800000000000011</v>
      </c>
      <c r="J44" s="188">
        <f>I44*2.3%+(I44/50)*0.5+1</f>
        <v>1.2732399999999999</v>
      </c>
      <c r="K44" s="188">
        <v>0</v>
      </c>
      <c r="L44" s="188">
        <v>0</v>
      </c>
      <c r="M44" s="338">
        <f>ROUND(I44+J44,0)</f>
        <v>10</v>
      </c>
      <c r="N44" s="463" t="s">
        <v>944</v>
      </c>
      <c r="O44" s="463"/>
      <c r="P44" s="463"/>
      <c r="Q44" s="463"/>
      <c r="S44" s="356" t="s">
        <v>768</v>
      </c>
    </row>
    <row r="45" spans="1:19" s="128" customFormat="1" ht="82.5" customHeight="1">
      <c r="A45" s="355">
        <v>3</v>
      </c>
      <c r="B45" s="462" t="s">
        <v>928</v>
      </c>
      <c r="C45" s="462"/>
      <c r="D45" s="423" t="s">
        <v>929</v>
      </c>
      <c r="E45" s="195" t="str">
        <f t="shared" si="7"/>
        <v>ASH - BC01</v>
      </c>
      <c r="F45" s="355" t="s">
        <v>36</v>
      </c>
      <c r="G45" s="424">
        <f>$Q$21</f>
        <v>36</v>
      </c>
      <c r="H45" s="425">
        <v>0.01</v>
      </c>
      <c r="I45" s="426">
        <f>H45*G45</f>
        <v>0.36</v>
      </c>
      <c r="J45" s="427">
        <f>I45*2.3%+(I45/50)*0.5+1</f>
        <v>1.0118799999999999</v>
      </c>
      <c r="K45" s="427">
        <v>0</v>
      </c>
      <c r="L45" s="427">
        <v>0</v>
      </c>
      <c r="M45" s="428">
        <f>ROUND(I45+J45,0)</f>
        <v>1</v>
      </c>
      <c r="N45" s="549" t="s">
        <v>945</v>
      </c>
      <c r="O45" s="549"/>
      <c r="P45" s="549"/>
      <c r="Q45" s="549"/>
      <c r="S45" s="356"/>
    </row>
    <row r="46" spans="1:19" s="128" customFormat="1" ht="64.5" customHeight="1">
      <c r="A46" s="355">
        <v>4</v>
      </c>
      <c r="B46" s="462" t="s">
        <v>930</v>
      </c>
      <c r="C46" s="462"/>
      <c r="D46" s="423" t="s">
        <v>931</v>
      </c>
      <c r="E46" s="423" t="s">
        <v>109</v>
      </c>
      <c r="F46" s="355" t="s">
        <v>36</v>
      </c>
      <c r="G46" s="424">
        <f>$Q$21</f>
        <v>36</v>
      </c>
      <c r="H46" s="425">
        <v>0.03</v>
      </c>
      <c r="I46" s="426">
        <f>H46*G46</f>
        <v>1.08</v>
      </c>
      <c r="J46" s="427">
        <f>I46*2.3%+(I46/50)*0.5+1</f>
        <v>1.0356399999999999</v>
      </c>
      <c r="K46" s="427">
        <v>0</v>
      </c>
      <c r="L46" s="427">
        <v>0</v>
      </c>
      <c r="M46" s="428">
        <f>ROUND(I46+J46,0)</f>
        <v>2</v>
      </c>
      <c r="N46" s="463" t="s">
        <v>932</v>
      </c>
      <c r="O46" s="463"/>
      <c r="P46" s="463"/>
      <c r="Q46" s="463"/>
      <c r="S46" s="356"/>
    </row>
    <row r="47" spans="1:19" s="4" customFormat="1" ht="59.15" customHeight="1">
      <c r="B47" s="87" t="s">
        <v>51</v>
      </c>
      <c r="C47" s="24"/>
      <c r="D47" s="343" t="s">
        <v>734</v>
      </c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</row>
    <row r="48" spans="1:19" s="25" customFormat="1" ht="120">
      <c r="A48" s="459" t="s">
        <v>52</v>
      </c>
      <c r="B48" s="459"/>
      <c r="C48" s="459"/>
      <c r="D48" s="191" t="s">
        <v>53</v>
      </c>
      <c r="E48" s="191" t="s">
        <v>54</v>
      </c>
      <c r="F48" s="191" t="s">
        <v>55</v>
      </c>
      <c r="G48" s="190" t="s">
        <v>56</v>
      </c>
      <c r="H48" s="190" t="s">
        <v>57</v>
      </c>
      <c r="I48" s="190" t="s">
        <v>58</v>
      </c>
      <c r="J48" s="190" t="s">
        <v>59</v>
      </c>
      <c r="K48" s="190" t="s">
        <v>60</v>
      </c>
      <c r="L48" s="190" t="s">
        <v>61</v>
      </c>
      <c r="M48" s="190" t="s">
        <v>62</v>
      </c>
      <c r="N48" s="460" t="s">
        <v>63</v>
      </c>
      <c r="O48" s="460"/>
      <c r="P48" s="460"/>
      <c r="Q48" s="460"/>
    </row>
    <row r="49" spans="1:19" s="34" customFormat="1" ht="51.75" customHeight="1">
      <c r="A49" s="464" t="str">
        <f>UPPER(D27)</f>
        <v>HEATHER GREY</v>
      </c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</row>
    <row r="50" spans="1:19" s="128" customFormat="1" ht="156" customHeight="1">
      <c r="A50" s="129">
        <v>1</v>
      </c>
      <c r="B50" s="465" t="str">
        <f>$M$11</f>
        <v>100%COTTON SEMI BRUSHED (20/1+20/1+10/2) washing_ 14GG _460GSM</v>
      </c>
      <c r="C50" s="465"/>
      <c r="D50" s="195" t="s">
        <v>64</v>
      </c>
      <c r="E50" s="195" t="str">
        <f>$N$24</f>
        <v>HEATHER GREY - BC06</v>
      </c>
      <c r="F50" s="129" t="s">
        <v>36</v>
      </c>
      <c r="G50" s="196">
        <f>$Q$27</f>
        <v>36</v>
      </c>
      <c r="H50" s="357">
        <v>1.75</v>
      </c>
      <c r="I50" s="179">
        <f>H50*G50</f>
        <v>63</v>
      </c>
      <c r="J50" s="188">
        <f>I50*2.5%+(I50/50)*0.5+1</f>
        <v>3.2050000000000001</v>
      </c>
      <c r="K50" s="188">
        <v>0</v>
      </c>
      <c r="L50" s="188">
        <v>0</v>
      </c>
      <c r="M50" s="338">
        <f>ROUND(I50+J50,0)</f>
        <v>66</v>
      </c>
      <c r="N50" s="463" t="s">
        <v>946</v>
      </c>
      <c r="O50" s="463"/>
      <c r="P50" s="463"/>
      <c r="Q50" s="463"/>
      <c r="S50" s="356" t="s">
        <v>768</v>
      </c>
    </row>
    <row r="51" spans="1:19" s="128" customFormat="1" ht="91.5" customHeight="1">
      <c r="A51" s="129">
        <v>1</v>
      </c>
      <c r="B51" s="465" t="s">
        <v>771</v>
      </c>
      <c r="C51" s="465"/>
      <c r="D51" s="195" t="s">
        <v>780</v>
      </c>
      <c r="E51" s="195" t="str">
        <f t="shared" ref="E51:E52" si="8">$N$24</f>
        <v>HEATHER GREY - BC06</v>
      </c>
      <c r="F51" s="129" t="s">
        <v>36</v>
      </c>
      <c r="G51" s="196">
        <f>$Q$27</f>
        <v>36</v>
      </c>
      <c r="H51" s="357">
        <v>0.23</v>
      </c>
      <c r="I51" s="179">
        <f>H51*G51</f>
        <v>8.2800000000000011</v>
      </c>
      <c r="J51" s="188">
        <f>I51*2.5%+(I51/50)*0.5+1</f>
        <v>1.2898000000000001</v>
      </c>
      <c r="K51" s="188">
        <v>0</v>
      </c>
      <c r="L51" s="188">
        <v>0</v>
      </c>
      <c r="M51" s="338">
        <f>ROUND(I51+J51,0)</f>
        <v>10</v>
      </c>
      <c r="N51" s="463" t="s">
        <v>947</v>
      </c>
      <c r="O51" s="463"/>
      <c r="P51" s="463"/>
      <c r="Q51" s="463"/>
      <c r="S51" s="356" t="s">
        <v>768</v>
      </c>
    </row>
    <row r="52" spans="1:19" s="128" customFormat="1" ht="82.5" customHeight="1">
      <c r="A52" s="355">
        <v>3</v>
      </c>
      <c r="B52" s="462" t="s">
        <v>928</v>
      </c>
      <c r="C52" s="462"/>
      <c r="D52" s="423" t="s">
        <v>929</v>
      </c>
      <c r="E52" s="195" t="str">
        <f t="shared" si="8"/>
        <v>HEATHER GREY - BC06</v>
      </c>
      <c r="F52" s="355" t="s">
        <v>36</v>
      </c>
      <c r="G52" s="424">
        <f>$Q$21</f>
        <v>36</v>
      </c>
      <c r="H52" s="425">
        <v>0.01</v>
      </c>
      <c r="I52" s="426">
        <f>H52*G52</f>
        <v>0.36</v>
      </c>
      <c r="J52" s="427">
        <f>I52*2.3%+(I52/50)*0.5+1</f>
        <v>1.0118799999999999</v>
      </c>
      <c r="K52" s="427">
        <v>0</v>
      </c>
      <c r="L52" s="427">
        <v>0</v>
      </c>
      <c r="M52" s="428">
        <f>ROUND(I52+J52,0)</f>
        <v>1</v>
      </c>
      <c r="N52" s="549" t="s">
        <v>959</v>
      </c>
      <c r="O52" s="549"/>
      <c r="P52" s="549"/>
      <c r="Q52" s="549"/>
      <c r="S52" s="356"/>
    </row>
    <row r="53" spans="1:19" s="128" customFormat="1" ht="60" customHeight="1">
      <c r="A53" s="355">
        <v>4</v>
      </c>
      <c r="B53" s="462" t="s">
        <v>930</v>
      </c>
      <c r="C53" s="462"/>
      <c r="D53" s="423" t="s">
        <v>931</v>
      </c>
      <c r="E53" s="423" t="s">
        <v>109</v>
      </c>
      <c r="F53" s="355" t="s">
        <v>36</v>
      </c>
      <c r="G53" s="424">
        <f>$Q$21</f>
        <v>36</v>
      </c>
      <c r="H53" s="425">
        <v>0.03</v>
      </c>
      <c r="I53" s="426">
        <f>H53*G53</f>
        <v>1.08</v>
      </c>
      <c r="J53" s="427">
        <f>I53*2.3%+(I53/50)*0.5+1</f>
        <v>1.0356399999999999</v>
      </c>
      <c r="K53" s="427">
        <v>0</v>
      </c>
      <c r="L53" s="427">
        <v>0</v>
      </c>
      <c r="M53" s="428">
        <f>ROUND(I53+J53,0)</f>
        <v>2</v>
      </c>
      <c r="N53" s="463" t="s">
        <v>932</v>
      </c>
      <c r="O53" s="463"/>
      <c r="P53" s="463"/>
      <c r="Q53" s="463"/>
      <c r="S53" s="356"/>
    </row>
    <row r="54" spans="1:19" s="34" customFormat="1" ht="51.75" customHeight="1">
      <c r="A54" s="464" t="str">
        <f>UPPER(D30)</f>
        <v>SANDSTONE</v>
      </c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</row>
    <row r="55" spans="1:19" s="128" customFormat="1" ht="156" customHeight="1">
      <c r="A55" s="129">
        <v>1</v>
      </c>
      <c r="B55" s="465" t="str">
        <f>$M$11</f>
        <v>100%COTTON SEMI BRUSHED (20/1+20/1+10/2) washing_ 14GG _460GSM</v>
      </c>
      <c r="C55" s="465"/>
      <c r="D55" s="195" t="s">
        <v>64</v>
      </c>
      <c r="E55" s="195" t="str">
        <f>$N$30</f>
        <v>OATLMEAL - BC0279</v>
      </c>
      <c r="F55" s="129" t="s">
        <v>36</v>
      </c>
      <c r="G55" s="196">
        <f>$Q$33</f>
        <v>36</v>
      </c>
      <c r="H55" s="357">
        <v>1.75</v>
      </c>
      <c r="I55" s="179">
        <f>H55*G55</f>
        <v>63</v>
      </c>
      <c r="J55" s="188">
        <f>I55*5.7%+(I55/50)*0.5+1</f>
        <v>5.2210000000000001</v>
      </c>
      <c r="K55" s="188">
        <v>0</v>
      </c>
      <c r="L55" s="188">
        <v>0</v>
      </c>
      <c r="M55" s="338">
        <f>ROUND(I55+J55,0)</f>
        <v>68</v>
      </c>
      <c r="N55" s="549" t="s">
        <v>948</v>
      </c>
      <c r="O55" s="549"/>
      <c r="P55" s="549"/>
      <c r="Q55" s="549"/>
      <c r="S55" s="356" t="s">
        <v>768</v>
      </c>
    </row>
    <row r="56" spans="1:19" s="128" customFormat="1" ht="94.5" customHeight="1">
      <c r="A56" s="355"/>
      <c r="B56" s="465" t="s">
        <v>771</v>
      </c>
      <c r="C56" s="465"/>
      <c r="D56" s="195" t="s">
        <v>781</v>
      </c>
      <c r="E56" s="195" t="str">
        <f t="shared" ref="E56:E57" si="9">$N$30</f>
        <v>OATLMEAL - BC0279</v>
      </c>
      <c r="F56" s="129" t="s">
        <v>36</v>
      </c>
      <c r="G56" s="196">
        <f>$Q$33</f>
        <v>36</v>
      </c>
      <c r="H56" s="357">
        <v>0.23</v>
      </c>
      <c r="I56" s="179">
        <f>H56*G56</f>
        <v>8.2800000000000011</v>
      </c>
      <c r="J56" s="188">
        <f>I56*5.7%+(I56/50)*0.5+1</f>
        <v>1.5547600000000001</v>
      </c>
      <c r="K56" s="188">
        <v>0</v>
      </c>
      <c r="L56" s="188">
        <v>0</v>
      </c>
      <c r="M56" s="338">
        <f>ROUND(I56+J56,0)</f>
        <v>10</v>
      </c>
      <c r="N56" s="549" t="s">
        <v>949</v>
      </c>
      <c r="O56" s="549"/>
      <c r="P56" s="549"/>
      <c r="Q56" s="549"/>
      <c r="S56" s="356"/>
    </row>
    <row r="57" spans="1:19" s="128" customFormat="1" ht="82.5" customHeight="1">
      <c r="A57" s="355">
        <v>3</v>
      </c>
      <c r="B57" s="462" t="s">
        <v>928</v>
      </c>
      <c r="C57" s="462"/>
      <c r="D57" s="423" t="s">
        <v>929</v>
      </c>
      <c r="E57" s="195" t="str">
        <f t="shared" si="9"/>
        <v>OATLMEAL - BC0279</v>
      </c>
      <c r="F57" s="355" t="s">
        <v>36</v>
      </c>
      <c r="G57" s="424">
        <f>$Q$21</f>
        <v>36</v>
      </c>
      <c r="H57" s="425">
        <v>0.01</v>
      </c>
      <c r="I57" s="426">
        <f>H57*G57</f>
        <v>0.36</v>
      </c>
      <c r="J57" s="427">
        <f>I57*2.3%+(I57/50)*0.5+1</f>
        <v>1.0118799999999999</v>
      </c>
      <c r="K57" s="427">
        <v>0</v>
      </c>
      <c r="L57" s="427">
        <v>0</v>
      </c>
      <c r="M57" s="428">
        <f>ROUND(I57+J57,0)</f>
        <v>1</v>
      </c>
      <c r="N57" s="549" t="s">
        <v>950</v>
      </c>
      <c r="O57" s="549"/>
      <c r="P57" s="549"/>
      <c r="Q57" s="549"/>
      <c r="S57" s="356"/>
    </row>
    <row r="58" spans="1:19" s="128" customFormat="1" ht="58.5" customHeight="1">
      <c r="A58" s="355">
        <v>4</v>
      </c>
      <c r="B58" s="462" t="s">
        <v>930</v>
      </c>
      <c r="C58" s="462"/>
      <c r="D58" s="423" t="s">
        <v>931</v>
      </c>
      <c r="E58" s="423" t="s">
        <v>109</v>
      </c>
      <c r="F58" s="355" t="s">
        <v>36</v>
      </c>
      <c r="G58" s="424">
        <f>$Q$21</f>
        <v>36</v>
      </c>
      <c r="H58" s="425">
        <v>0.03</v>
      </c>
      <c r="I58" s="426">
        <f>H58*G58</f>
        <v>1.08</v>
      </c>
      <c r="J58" s="427">
        <f>I58*2.3%+(I58/50)*0.5+1</f>
        <v>1.0356399999999999</v>
      </c>
      <c r="K58" s="427">
        <v>0</v>
      </c>
      <c r="L58" s="427">
        <v>0</v>
      </c>
      <c r="M58" s="428">
        <f>ROUND(I58+J58,0)</f>
        <v>2</v>
      </c>
      <c r="N58" s="463" t="s">
        <v>932</v>
      </c>
      <c r="O58" s="463"/>
      <c r="P58" s="463"/>
      <c r="Q58" s="463"/>
      <c r="S58" s="356"/>
    </row>
    <row r="59" spans="1:19" s="26" customFormat="1" ht="37" customHeight="1" thickBot="1">
      <c r="B59" s="87" t="s">
        <v>69</v>
      </c>
      <c r="C59" s="27"/>
      <c r="D59" s="27"/>
      <c r="E59" s="27"/>
      <c r="G59" s="28"/>
      <c r="Q59" s="29"/>
    </row>
    <row r="60" spans="1:19" s="40" customFormat="1" ht="55.5" customHeight="1">
      <c r="A60" s="466" t="s">
        <v>70</v>
      </c>
      <c r="B60" s="467"/>
      <c r="C60" s="467"/>
      <c r="D60" s="467"/>
      <c r="E60" s="468"/>
      <c r="F60" s="84" t="s">
        <v>71</v>
      </c>
      <c r="G60" s="84" t="s">
        <v>72</v>
      </c>
      <c r="H60" s="469" t="s">
        <v>73</v>
      </c>
      <c r="I60" s="470"/>
      <c r="J60" s="85" t="s">
        <v>55</v>
      </c>
      <c r="K60" s="84" t="s">
        <v>74</v>
      </c>
      <c r="L60" s="84" t="s">
        <v>75</v>
      </c>
      <c r="M60" s="86" t="s">
        <v>76</v>
      </c>
      <c r="N60" s="86" t="s">
        <v>77</v>
      </c>
      <c r="O60" s="86" t="s">
        <v>78</v>
      </c>
      <c r="P60" s="469" t="s">
        <v>79</v>
      </c>
      <c r="Q60" s="470"/>
    </row>
    <row r="61" spans="1:19" s="15" customFormat="1" ht="81.75" customHeight="1">
      <c r="A61" s="192">
        <v>1</v>
      </c>
      <c r="B61" s="471" t="s">
        <v>80</v>
      </c>
      <c r="C61" s="471"/>
      <c r="D61" s="471"/>
      <c r="E61" s="471"/>
      <c r="F61" s="183" t="str">
        <f>E43</f>
        <v>ASH - BC01</v>
      </c>
      <c r="G61" s="434" t="s">
        <v>951</v>
      </c>
      <c r="H61" s="472" t="str">
        <f>$D$21</f>
        <v>DOVE</v>
      </c>
      <c r="I61" s="473" t="str">
        <f t="shared" ref="I61:I75" si="10">$E$43</f>
        <v>ASH - BC01</v>
      </c>
      <c r="J61" s="187" t="s">
        <v>81</v>
      </c>
      <c r="K61" s="187">
        <f>$Q$21</f>
        <v>36</v>
      </c>
      <c r="L61" s="352">
        <f>320/4500</f>
        <v>7.1111111111111111E-2</v>
      </c>
      <c r="M61" s="193">
        <f t="shared" ref="M61:M63" si="11">K61*L61</f>
        <v>2.56</v>
      </c>
      <c r="N61" s="193"/>
      <c r="O61" s="189">
        <f t="shared" ref="O61:O75" si="12">ROUNDUP(N61+M61,0)</f>
        <v>3</v>
      </c>
      <c r="P61" s="474" t="s">
        <v>954</v>
      </c>
      <c r="Q61" s="475"/>
    </row>
    <row r="62" spans="1:19" s="15" customFormat="1" ht="81.75" customHeight="1">
      <c r="A62" s="192">
        <v>2</v>
      </c>
      <c r="B62" s="471" t="s">
        <v>80</v>
      </c>
      <c r="C62" s="471"/>
      <c r="D62" s="471"/>
      <c r="E62" s="471"/>
      <c r="F62" s="183" t="str">
        <f>E50</f>
        <v>HEATHER GREY - BC06</v>
      </c>
      <c r="G62" s="434" t="s">
        <v>952</v>
      </c>
      <c r="H62" s="472" t="str">
        <f t="shared" ref="H62" si="13">$D$27</f>
        <v>HEATHER GREY</v>
      </c>
      <c r="I62" s="473"/>
      <c r="J62" s="187" t="s">
        <v>81</v>
      </c>
      <c r="K62" s="187">
        <f>$Q$27</f>
        <v>36</v>
      </c>
      <c r="L62" s="352">
        <f>320/4500</f>
        <v>7.1111111111111111E-2</v>
      </c>
      <c r="M62" s="193">
        <f t="shared" si="11"/>
        <v>2.56</v>
      </c>
      <c r="N62" s="193"/>
      <c r="O62" s="189">
        <f t="shared" si="12"/>
        <v>3</v>
      </c>
      <c r="P62" s="476"/>
      <c r="Q62" s="477"/>
    </row>
    <row r="63" spans="1:19" s="15" customFormat="1" ht="81.75" customHeight="1">
      <c r="A63" s="192">
        <v>3</v>
      </c>
      <c r="B63" s="471" t="s">
        <v>80</v>
      </c>
      <c r="C63" s="471"/>
      <c r="D63" s="471"/>
      <c r="E63" s="471"/>
      <c r="F63" s="183" t="str">
        <f>E55</f>
        <v>OATLMEAL - BC0279</v>
      </c>
      <c r="G63" s="434" t="s">
        <v>953</v>
      </c>
      <c r="H63" s="472" t="str">
        <f>$D$33</f>
        <v>SANDSTONE</v>
      </c>
      <c r="I63" s="473" t="str">
        <f t="shared" si="10"/>
        <v>ASH - BC01</v>
      </c>
      <c r="J63" s="187" t="s">
        <v>81</v>
      </c>
      <c r="K63" s="187">
        <f>$Q$33</f>
        <v>36</v>
      </c>
      <c r="L63" s="352">
        <f>320/4500</f>
        <v>7.1111111111111111E-2</v>
      </c>
      <c r="M63" s="193">
        <f t="shared" si="11"/>
        <v>2.56</v>
      </c>
      <c r="N63" s="193"/>
      <c r="O63" s="189">
        <f t="shared" si="12"/>
        <v>3</v>
      </c>
      <c r="P63" s="476"/>
      <c r="Q63" s="477"/>
    </row>
    <row r="64" spans="1:19" s="15" customFormat="1" ht="47.25" customHeight="1">
      <c r="A64" s="192">
        <v>4</v>
      </c>
      <c r="B64" s="478" t="s">
        <v>773</v>
      </c>
      <c r="C64" s="479"/>
      <c r="D64" s="479"/>
      <c r="E64" s="479"/>
      <c r="F64" s="481" t="s">
        <v>91</v>
      </c>
      <c r="G64" s="483" t="s">
        <v>774</v>
      </c>
      <c r="H64" s="472" t="str">
        <f>$D$21</f>
        <v>DOVE</v>
      </c>
      <c r="I64" s="473" t="str">
        <f t="shared" si="10"/>
        <v>ASH - BC01</v>
      </c>
      <c r="J64" s="187" t="s">
        <v>87</v>
      </c>
      <c r="K64" s="187">
        <f>$Q$21</f>
        <v>36</v>
      </c>
      <c r="L64" s="187">
        <v>1</v>
      </c>
      <c r="M64" s="187">
        <f t="shared" ref="M64:M75" si="14">L64*K64</f>
        <v>36</v>
      </c>
      <c r="N64" s="193"/>
      <c r="O64" s="189">
        <f t="shared" si="12"/>
        <v>36</v>
      </c>
      <c r="P64" s="474" t="s">
        <v>744</v>
      </c>
      <c r="Q64" s="475"/>
    </row>
    <row r="65" spans="1:17" s="15" customFormat="1" ht="47.25" customHeight="1">
      <c r="A65" s="192">
        <v>5</v>
      </c>
      <c r="B65" s="478" t="s">
        <v>773</v>
      </c>
      <c r="C65" s="479"/>
      <c r="D65" s="479"/>
      <c r="E65" s="479"/>
      <c r="F65" s="482"/>
      <c r="G65" s="484"/>
      <c r="H65" s="472" t="str">
        <f t="shared" ref="H65" si="15">$D$27</f>
        <v>HEATHER GREY</v>
      </c>
      <c r="I65" s="473"/>
      <c r="J65" s="187" t="s">
        <v>87</v>
      </c>
      <c r="K65" s="187">
        <f>$Q$27</f>
        <v>36</v>
      </c>
      <c r="L65" s="187">
        <v>1</v>
      </c>
      <c r="M65" s="187">
        <f t="shared" si="14"/>
        <v>36</v>
      </c>
      <c r="N65" s="193"/>
      <c r="O65" s="189">
        <f t="shared" si="12"/>
        <v>36</v>
      </c>
      <c r="P65" s="476"/>
      <c r="Q65" s="477"/>
    </row>
    <row r="66" spans="1:17" s="15" customFormat="1" ht="47.25" customHeight="1">
      <c r="A66" s="192">
        <v>6</v>
      </c>
      <c r="B66" s="478" t="s">
        <v>773</v>
      </c>
      <c r="C66" s="479"/>
      <c r="D66" s="479"/>
      <c r="E66" s="479"/>
      <c r="F66" s="548"/>
      <c r="G66" s="484"/>
      <c r="H66" s="472" t="str">
        <f>$D$33</f>
        <v>SANDSTONE</v>
      </c>
      <c r="I66" s="473" t="str">
        <f t="shared" si="10"/>
        <v>ASH - BC01</v>
      </c>
      <c r="J66" s="187" t="s">
        <v>87</v>
      </c>
      <c r="K66" s="187">
        <f>$Q$33</f>
        <v>36</v>
      </c>
      <c r="L66" s="187">
        <v>1</v>
      </c>
      <c r="M66" s="187">
        <f t="shared" si="14"/>
        <v>36</v>
      </c>
      <c r="N66" s="193"/>
      <c r="O66" s="189">
        <f t="shared" si="12"/>
        <v>36</v>
      </c>
      <c r="P66" s="545"/>
      <c r="Q66" s="546"/>
    </row>
    <row r="67" spans="1:17" s="15" customFormat="1" ht="47.25" customHeight="1">
      <c r="A67" s="192">
        <v>7</v>
      </c>
      <c r="B67" s="478" t="s">
        <v>775</v>
      </c>
      <c r="C67" s="479"/>
      <c r="D67" s="479"/>
      <c r="E67" s="479"/>
      <c r="F67" s="481" t="s">
        <v>91</v>
      </c>
      <c r="G67" s="483" t="s">
        <v>776</v>
      </c>
      <c r="H67" s="472" t="str">
        <f>$D$21</f>
        <v>DOVE</v>
      </c>
      <c r="I67" s="473" t="str">
        <f t="shared" si="10"/>
        <v>ASH - BC01</v>
      </c>
      <c r="J67" s="187" t="s">
        <v>87</v>
      </c>
      <c r="K67" s="187">
        <f>$Q$21</f>
        <v>36</v>
      </c>
      <c r="L67" s="187">
        <v>1</v>
      </c>
      <c r="M67" s="187">
        <f t="shared" si="14"/>
        <v>36</v>
      </c>
      <c r="N67" s="193"/>
      <c r="O67" s="189">
        <f t="shared" si="12"/>
        <v>36</v>
      </c>
      <c r="P67" s="474" t="s">
        <v>744</v>
      </c>
      <c r="Q67" s="475"/>
    </row>
    <row r="68" spans="1:17" s="15" customFormat="1" ht="47.25" customHeight="1">
      <c r="A68" s="192">
        <v>8</v>
      </c>
      <c r="B68" s="478" t="s">
        <v>775</v>
      </c>
      <c r="C68" s="479"/>
      <c r="D68" s="479"/>
      <c r="E68" s="479"/>
      <c r="F68" s="482"/>
      <c r="G68" s="484"/>
      <c r="H68" s="472" t="str">
        <f t="shared" ref="H68" si="16">$D$27</f>
        <v>HEATHER GREY</v>
      </c>
      <c r="I68" s="473"/>
      <c r="J68" s="187" t="s">
        <v>87</v>
      </c>
      <c r="K68" s="187">
        <f>$Q$27</f>
        <v>36</v>
      </c>
      <c r="L68" s="187">
        <v>1</v>
      </c>
      <c r="M68" s="187">
        <f t="shared" si="14"/>
        <v>36</v>
      </c>
      <c r="N68" s="193"/>
      <c r="O68" s="189">
        <f t="shared" si="12"/>
        <v>36</v>
      </c>
      <c r="P68" s="476"/>
      <c r="Q68" s="477"/>
    </row>
    <row r="69" spans="1:17" s="15" customFormat="1" ht="47.25" customHeight="1">
      <c r="A69" s="192">
        <v>9</v>
      </c>
      <c r="B69" s="478" t="s">
        <v>775</v>
      </c>
      <c r="C69" s="479"/>
      <c r="D69" s="479"/>
      <c r="E69" s="479"/>
      <c r="F69" s="548"/>
      <c r="G69" s="484"/>
      <c r="H69" s="472" t="str">
        <f>$D$33</f>
        <v>SANDSTONE</v>
      </c>
      <c r="I69" s="473" t="str">
        <f t="shared" si="10"/>
        <v>ASH - BC01</v>
      </c>
      <c r="J69" s="187" t="s">
        <v>87</v>
      </c>
      <c r="K69" s="187">
        <f>$Q$33</f>
        <v>36</v>
      </c>
      <c r="L69" s="187">
        <v>1</v>
      </c>
      <c r="M69" s="187">
        <f t="shared" si="14"/>
        <v>36</v>
      </c>
      <c r="N69" s="193"/>
      <c r="O69" s="189">
        <f t="shared" si="12"/>
        <v>36</v>
      </c>
      <c r="P69" s="545"/>
      <c r="Q69" s="546"/>
    </row>
    <row r="70" spans="1:17" s="15" customFormat="1" ht="47.25" customHeight="1">
      <c r="A70" s="192">
        <v>10</v>
      </c>
      <c r="B70" s="480" t="s">
        <v>753</v>
      </c>
      <c r="C70" s="471"/>
      <c r="D70" s="471"/>
      <c r="E70" s="471"/>
      <c r="F70" s="481" t="s">
        <v>91</v>
      </c>
      <c r="G70" s="483" t="s">
        <v>754</v>
      </c>
      <c r="H70" s="472" t="str">
        <f>$D$21</f>
        <v>DOVE</v>
      </c>
      <c r="I70" s="473" t="str">
        <f t="shared" si="10"/>
        <v>ASH - BC01</v>
      </c>
      <c r="J70" s="187" t="s">
        <v>87</v>
      </c>
      <c r="K70" s="187">
        <f>$Q$21</f>
        <v>36</v>
      </c>
      <c r="L70" s="187">
        <v>1</v>
      </c>
      <c r="M70" s="187">
        <f t="shared" si="14"/>
        <v>36</v>
      </c>
      <c r="N70" s="193"/>
      <c r="O70" s="189">
        <f t="shared" si="12"/>
        <v>36</v>
      </c>
      <c r="P70" s="474" t="s">
        <v>744</v>
      </c>
      <c r="Q70" s="475"/>
    </row>
    <row r="71" spans="1:17" s="15" customFormat="1" ht="47.25" customHeight="1">
      <c r="A71" s="192">
        <v>11</v>
      </c>
      <c r="B71" s="480" t="s">
        <v>753</v>
      </c>
      <c r="C71" s="471"/>
      <c r="D71" s="471"/>
      <c r="E71" s="471"/>
      <c r="F71" s="482"/>
      <c r="G71" s="484"/>
      <c r="H71" s="472" t="str">
        <f t="shared" ref="H71" si="17">$D$27</f>
        <v>HEATHER GREY</v>
      </c>
      <c r="I71" s="473"/>
      <c r="J71" s="187" t="s">
        <v>87</v>
      </c>
      <c r="K71" s="187">
        <f>$Q$27</f>
        <v>36</v>
      </c>
      <c r="L71" s="187">
        <v>1</v>
      </c>
      <c r="M71" s="187">
        <f t="shared" si="14"/>
        <v>36</v>
      </c>
      <c r="N71" s="193"/>
      <c r="O71" s="189">
        <f t="shared" si="12"/>
        <v>36</v>
      </c>
      <c r="P71" s="476"/>
      <c r="Q71" s="477"/>
    </row>
    <row r="72" spans="1:17" s="15" customFormat="1" ht="47.25" customHeight="1">
      <c r="A72" s="192">
        <v>12</v>
      </c>
      <c r="B72" s="480" t="s">
        <v>753</v>
      </c>
      <c r="C72" s="471"/>
      <c r="D72" s="471"/>
      <c r="E72" s="471"/>
      <c r="F72" s="548"/>
      <c r="G72" s="484"/>
      <c r="H72" s="472" t="str">
        <f>$D$33</f>
        <v>SANDSTONE</v>
      </c>
      <c r="I72" s="473" t="str">
        <f t="shared" si="10"/>
        <v>ASH - BC01</v>
      </c>
      <c r="J72" s="187" t="s">
        <v>87</v>
      </c>
      <c r="K72" s="187">
        <f>$Q$33</f>
        <v>36</v>
      </c>
      <c r="L72" s="187">
        <v>1</v>
      </c>
      <c r="M72" s="187">
        <f t="shared" si="14"/>
        <v>36</v>
      </c>
      <c r="N72" s="193"/>
      <c r="O72" s="189">
        <f t="shared" si="12"/>
        <v>36</v>
      </c>
      <c r="P72" s="545"/>
      <c r="Q72" s="546"/>
    </row>
    <row r="73" spans="1:17" s="15" customFormat="1" ht="63.75" customHeight="1">
      <c r="A73" s="192">
        <v>13</v>
      </c>
      <c r="B73" s="480" t="s">
        <v>750</v>
      </c>
      <c r="C73" s="471"/>
      <c r="D73" s="471"/>
      <c r="E73" s="485"/>
      <c r="F73" s="487" t="s">
        <v>91</v>
      </c>
      <c r="G73" s="488"/>
      <c r="H73" s="486" t="str">
        <f>$D$21</f>
        <v>DOVE</v>
      </c>
      <c r="I73" s="473" t="str">
        <f t="shared" si="10"/>
        <v>ASH - BC01</v>
      </c>
      <c r="J73" s="187" t="s">
        <v>87</v>
      </c>
      <c r="K73" s="187">
        <f>$Q$21</f>
        <v>36</v>
      </c>
      <c r="L73" s="187">
        <v>1</v>
      </c>
      <c r="M73" s="187">
        <f t="shared" si="14"/>
        <v>36</v>
      </c>
      <c r="N73" s="193"/>
      <c r="O73" s="189">
        <f t="shared" si="12"/>
        <v>36</v>
      </c>
      <c r="P73" s="474" t="s">
        <v>745</v>
      </c>
      <c r="Q73" s="475"/>
    </row>
    <row r="74" spans="1:17" s="15" customFormat="1" ht="63.75" customHeight="1">
      <c r="A74" s="192">
        <v>14</v>
      </c>
      <c r="B74" s="480" t="s">
        <v>750</v>
      </c>
      <c r="C74" s="471"/>
      <c r="D74" s="471"/>
      <c r="E74" s="485"/>
      <c r="F74" s="487"/>
      <c r="G74" s="488"/>
      <c r="H74" s="486" t="str">
        <f t="shared" ref="H74" si="18">$D$27</f>
        <v>HEATHER GREY</v>
      </c>
      <c r="I74" s="473"/>
      <c r="J74" s="187" t="s">
        <v>87</v>
      </c>
      <c r="K74" s="187">
        <f>$Q$27</f>
        <v>36</v>
      </c>
      <c r="L74" s="187">
        <v>1</v>
      </c>
      <c r="M74" s="187">
        <f t="shared" si="14"/>
        <v>36</v>
      </c>
      <c r="N74" s="193"/>
      <c r="O74" s="189">
        <f t="shared" si="12"/>
        <v>36</v>
      </c>
      <c r="P74" s="476"/>
      <c r="Q74" s="477"/>
    </row>
    <row r="75" spans="1:17" s="15" customFormat="1" ht="63.75" customHeight="1">
      <c r="A75" s="192">
        <v>15</v>
      </c>
      <c r="B75" s="480" t="s">
        <v>750</v>
      </c>
      <c r="C75" s="471"/>
      <c r="D75" s="471"/>
      <c r="E75" s="485"/>
      <c r="F75" s="487"/>
      <c r="G75" s="488"/>
      <c r="H75" s="486" t="str">
        <f>$D$33</f>
        <v>SANDSTONE</v>
      </c>
      <c r="I75" s="473" t="str">
        <f t="shared" si="10"/>
        <v>ASH - BC01</v>
      </c>
      <c r="J75" s="187" t="s">
        <v>87</v>
      </c>
      <c r="K75" s="187">
        <f>$Q$33</f>
        <v>36</v>
      </c>
      <c r="L75" s="187">
        <v>1</v>
      </c>
      <c r="M75" s="187">
        <f t="shared" si="14"/>
        <v>36</v>
      </c>
      <c r="N75" s="193"/>
      <c r="O75" s="189">
        <f t="shared" si="12"/>
        <v>36</v>
      </c>
      <c r="P75" s="545"/>
      <c r="Q75" s="546"/>
    </row>
    <row r="76" spans="1:17" s="26" customFormat="1" ht="39" customHeight="1">
      <c r="B76" s="91" t="s">
        <v>95</v>
      </c>
      <c r="C76" s="27"/>
      <c r="D76" s="27"/>
      <c r="E76" s="27"/>
      <c r="G76" s="28"/>
      <c r="H76" s="30"/>
      <c r="I76" s="30"/>
      <c r="J76" s="30"/>
      <c r="K76" s="30"/>
      <c r="L76" s="30"/>
      <c r="M76" s="30"/>
      <c r="N76" s="30"/>
      <c r="O76" s="30"/>
      <c r="Q76" s="29"/>
    </row>
    <row r="77" spans="1:17" s="40" customFormat="1" ht="60">
      <c r="A77" s="459" t="s">
        <v>70</v>
      </c>
      <c r="B77" s="459"/>
      <c r="C77" s="459"/>
      <c r="D77" s="459"/>
      <c r="E77" s="459"/>
      <c r="F77" s="190" t="s">
        <v>71</v>
      </c>
      <c r="G77" s="190" t="s">
        <v>72</v>
      </c>
      <c r="H77" s="460" t="s">
        <v>73</v>
      </c>
      <c r="I77" s="460"/>
      <c r="J77" s="191" t="s">
        <v>55</v>
      </c>
      <c r="K77" s="190" t="s">
        <v>74</v>
      </c>
      <c r="L77" s="190" t="s">
        <v>75</v>
      </c>
      <c r="M77" s="190" t="s">
        <v>76</v>
      </c>
      <c r="N77" s="190" t="s">
        <v>77</v>
      </c>
      <c r="O77" s="190" t="s">
        <v>78</v>
      </c>
      <c r="P77" s="460" t="s">
        <v>79</v>
      </c>
      <c r="Q77" s="460"/>
    </row>
    <row r="78" spans="1:17" s="34" customFormat="1" ht="51.75" customHeight="1">
      <c r="A78" s="192">
        <v>1</v>
      </c>
      <c r="B78" s="480" t="s">
        <v>746</v>
      </c>
      <c r="C78" s="480"/>
      <c r="D78" s="480"/>
      <c r="E78" s="480"/>
      <c r="F78" s="493" t="s">
        <v>91</v>
      </c>
      <c r="G78" s="494"/>
      <c r="H78" s="492" t="str">
        <f>$D$21</f>
        <v>DOVE</v>
      </c>
      <c r="I78" s="492" t="str">
        <f>$E$43</f>
        <v>ASH - BC01</v>
      </c>
      <c r="J78" s="187" t="s">
        <v>87</v>
      </c>
      <c r="K78" s="187">
        <f>$Q$21</f>
        <v>36</v>
      </c>
      <c r="L78" s="353">
        <f>1+L93</f>
        <v>1.1666666666666667</v>
      </c>
      <c r="M78" s="187">
        <f t="shared" ref="M78:M98" si="19">K78*L78</f>
        <v>42</v>
      </c>
      <c r="N78" s="193"/>
      <c r="O78" s="189">
        <f t="shared" ref="O78:O98" si="20">ROUNDUP(N78+M78,0)</f>
        <v>42</v>
      </c>
      <c r="P78" s="474" t="s">
        <v>751</v>
      </c>
      <c r="Q78" s="475"/>
    </row>
    <row r="79" spans="1:17" s="34" customFormat="1" ht="51.75" customHeight="1">
      <c r="A79" s="192">
        <v>2</v>
      </c>
      <c r="B79" s="480" t="s">
        <v>746</v>
      </c>
      <c r="C79" s="480"/>
      <c r="D79" s="480"/>
      <c r="E79" s="480"/>
      <c r="F79" s="493"/>
      <c r="G79" s="494"/>
      <c r="H79" s="492" t="str">
        <f t="shared" ref="H79" si="21">$D$27</f>
        <v>HEATHER GREY</v>
      </c>
      <c r="I79" s="492"/>
      <c r="J79" s="187" t="s">
        <v>87</v>
      </c>
      <c r="K79" s="187">
        <f>$Q$27</f>
        <v>36</v>
      </c>
      <c r="L79" s="353">
        <f>1+L94</f>
        <v>1.1666666666666667</v>
      </c>
      <c r="M79" s="187">
        <f t="shared" si="19"/>
        <v>42</v>
      </c>
      <c r="N79" s="193"/>
      <c r="O79" s="189">
        <f t="shared" si="20"/>
        <v>42</v>
      </c>
      <c r="P79" s="476"/>
      <c r="Q79" s="477"/>
    </row>
    <row r="80" spans="1:17" s="34" customFormat="1" ht="51.75" customHeight="1">
      <c r="A80" s="192">
        <v>3</v>
      </c>
      <c r="B80" s="480" t="s">
        <v>746</v>
      </c>
      <c r="C80" s="480"/>
      <c r="D80" s="480"/>
      <c r="E80" s="480"/>
      <c r="F80" s="493"/>
      <c r="G80" s="494"/>
      <c r="H80" s="492" t="str">
        <f>$D$33</f>
        <v>SANDSTONE</v>
      </c>
      <c r="I80" s="492" t="str">
        <f>$E$43</f>
        <v>ASH - BC01</v>
      </c>
      <c r="J80" s="187" t="s">
        <v>87</v>
      </c>
      <c r="K80" s="187">
        <f>$Q$33</f>
        <v>36</v>
      </c>
      <c r="L80" s="353">
        <f>1+L95</f>
        <v>1.1666666666666667</v>
      </c>
      <c r="M80" s="187">
        <f t="shared" si="19"/>
        <v>42</v>
      </c>
      <c r="N80" s="193"/>
      <c r="O80" s="189">
        <f t="shared" si="20"/>
        <v>42</v>
      </c>
      <c r="P80" s="545"/>
      <c r="Q80" s="546"/>
    </row>
    <row r="81" spans="1:17" s="34" customFormat="1" ht="64.5" customHeight="1">
      <c r="A81" s="192">
        <v>4</v>
      </c>
      <c r="B81" s="489" t="s">
        <v>748</v>
      </c>
      <c r="C81" s="489"/>
      <c r="D81" s="489"/>
      <c r="E81" s="489"/>
      <c r="F81" s="183" t="s">
        <v>103</v>
      </c>
      <c r="G81" s="490" t="s">
        <v>749</v>
      </c>
      <c r="H81" s="492" t="str">
        <f>$D$21</f>
        <v>DOVE</v>
      </c>
      <c r="I81" s="492" t="str">
        <f>$E$43</f>
        <v>ASH - BC01</v>
      </c>
      <c r="J81" s="187" t="s">
        <v>87</v>
      </c>
      <c r="K81" s="187">
        <f>$Q$21</f>
        <v>36</v>
      </c>
      <c r="L81" s="187">
        <v>1</v>
      </c>
      <c r="M81" s="187">
        <f t="shared" si="19"/>
        <v>36</v>
      </c>
      <c r="N81" s="193"/>
      <c r="O81" s="189">
        <f t="shared" si="20"/>
        <v>36</v>
      </c>
      <c r="P81" s="474" t="s">
        <v>747</v>
      </c>
      <c r="Q81" s="475"/>
    </row>
    <row r="82" spans="1:17" s="34" customFormat="1" ht="64.5" customHeight="1">
      <c r="A82" s="192">
        <v>5</v>
      </c>
      <c r="B82" s="489" t="s">
        <v>748</v>
      </c>
      <c r="C82" s="489"/>
      <c r="D82" s="489"/>
      <c r="E82" s="489"/>
      <c r="F82" s="183" t="s">
        <v>103</v>
      </c>
      <c r="G82" s="491"/>
      <c r="H82" s="492" t="str">
        <f t="shared" ref="H82" si="22">$D$27</f>
        <v>HEATHER GREY</v>
      </c>
      <c r="I82" s="492"/>
      <c r="J82" s="187" t="s">
        <v>87</v>
      </c>
      <c r="K82" s="187">
        <f>$Q$27</f>
        <v>36</v>
      </c>
      <c r="L82" s="187">
        <v>1</v>
      </c>
      <c r="M82" s="187">
        <f t="shared" si="19"/>
        <v>36</v>
      </c>
      <c r="N82" s="193"/>
      <c r="O82" s="189">
        <f t="shared" si="20"/>
        <v>36</v>
      </c>
      <c r="P82" s="476"/>
      <c r="Q82" s="477"/>
    </row>
    <row r="83" spans="1:17" s="34" customFormat="1" ht="64.5" customHeight="1">
      <c r="A83" s="192">
        <v>6</v>
      </c>
      <c r="B83" s="489" t="s">
        <v>748</v>
      </c>
      <c r="C83" s="489"/>
      <c r="D83" s="489"/>
      <c r="E83" s="489"/>
      <c r="F83" s="183" t="s">
        <v>103</v>
      </c>
      <c r="G83" s="547"/>
      <c r="H83" s="492" t="str">
        <f>$D$33</f>
        <v>SANDSTONE</v>
      </c>
      <c r="I83" s="492" t="str">
        <f>$E$43</f>
        <v>ASH - BC01</v>
      </c>
      <c r="J83" s="187" t="s">
        <v>87</v>
      </c>
      <c r="K83" s="187">
        <f>$Q$33</f>
        <v>36</v>
      </c>
      <c r="L83" s="187">
        <v>1</v>
      </c>
      <c r="M83" s="187">
        <f t="shared" si="19"/>
        <v>36</v>
      </c>
      <c r="N83" s="193"/>
      <c r="O83" s="189">
        <f t="shared" si="20"/>
        <v>36</v>
      </c>
      <c r="P83" s="545"/>
      <c r="Q83" s="546"/>
    </row>
    <row r="84" spans="1:17" s="34" customFormat="1" ht="42.75" customHeight="1">
      <c r="A84" s="192">
        <v>7</v>
      </c>
      <c r="B84" s="480" t="s">
        <v>755</v>
      </c>
      <c r="C84" s="471"/>
      <c r="D84" s="471"/>
      <c r="E84" s="471"/>
      <c r="F84" s="183" t="s">
        <v>105</v>
      </c>
      <c r="G84" s="183"/>
      <c r="H84" s="492" t="str">
        <f>$D$21</f>
        <v>DOVE</v>
      </c>
      <c r="I84" s="492" t="str">
        <f>$E$43</f>
        <v>ASH - BC01</v>
      </c>
      <c r="J84" s="187" t="s">
        <v>87</v>
      </c>
      <c r="K84" s="187">
        <f>$Q$21</f>
        <v>36</v>
      </c>
      <c r="L84" s="194">
        <f>1/12</f>
        <v>8.3333333333333329E-2</v>
      </c>
      <c r="M84" s="187">
        <f t="shared" si="19"/>
        <v>3</v>
      </c>
      <c r="N84" s="193"/>
      <c r="O84" s="189">
        <f t="shared" si="20"/>
        <v>3</v>
      </c>
      <c r="P84" s="499"/>
      <c r="Q84" s="499"/>
    </row>
    <row r="85" spans="1:17" s="34" customFormat="1" ht="42.75" customHeight="1">
      <c r="A85" s="192">
        <v>8</v>
      </c>
      <c r="B85" s="480" t="s">
        <v>755</v>
      </c>
      <c r="C85" s="471"/>
      <c r="D85" s="471"/>
      <c r="E85" s="471"/>
      <c r="F85" s="183" t="s">
        <v>105</v>
      </c>
      <c r="G85" s="183"/>
      <c r="H85" s="492" t="str">
        <f t="shared" ref="H85" si="23">$D$27</f>
        <v>HEATHER GREY</v>
      </c>
      <c r="I85" s="492"/>
      <c r="J85" s="187" t="s">
        <v>87</v>
      </c>
      <c r="K85" s="187">
        <f>$Q$27</f>
        <v>36</v>
      </c>
      <c r="L85" s="194">
        <f>1/12</f>
        <v>8.3333333333333329E-2</v>
      </c>
      <c r="M85" s="187">
        <f t="shared" si="19"/>
        <v>3</v>
      </c>
      <c r="N85" s="193"/>
      <c r="O85" s="189">
        <f t="shared" si="20"/>
        <v>3</v>
      </c>
      <c r="P85" s="499"/>
      <c r="Q85" s="499"/>
    </row>
    <row r="86" spans="1:17" s="34" customFormat="1" ht="42.75" customHeight="1">
      <c r="A86" s="192">
        <v>9</v>
      </c>
      <c r="B86" s="480" t="s">
        <v>755</v>
      </c>
      <c r="C86" s="471"/>
      <c r="D86" s="471"/>
      <c r="E86" s="471"/>
      <c r="F86" s="183" t="s">
        <v>105</v>
      </c>
      <c r="G86" s="183"/>
      <c r="H86" s="492" t="str">
        <f>$D$33</f>
        <v>SANDSTONE</v>
      </c>
      <c r="I86" s="492" t="str">
        <f>$E$43</f>
        <v>ASH - BC01</v>
      </c>
      <c r="J86" s="187" t="s">
        <v>87</v>
      </c>
      <c r="K86" s="187">
        <f>$Q$33</f>
        <v>36</v>
      </c>
      <c r="L86" s="194">
        <f>1/12</f>
        <v>8.3333333333333329E-2</v>
      </c>
      <c r="M86" s="187">
        <f t="shared" si="19"/>
        <v>3</v>
      </c>
      <c r="N86" s="193"/>
      <c r="O86" s="189">
        <f t="shared" si="20"/>
        <v>3</v>
      </c>
      <c r="P86" s="499"/>
      <c r="Q86" s="499"/>
    </row>
    <row r="87" spans="1:17" s="34" customFormat="1" ht="51.75" customHeight="1">
      <c r="A87" s="192">
        <v>10</v>
      </c>
      <c r="B87" s="480" t="s">
        <v>145</v>
      </c>
      <c r="C87" s="480"/>
      <c r="D87" s="480"/>
      <c r="E87" s="480"/>
      <c r="F87" s="493" t="s">
        <v>91</v>
      </c>
      <c r="G87" s="494"/>
      <c r="H87" s="492" t="str">
        <f>$D$21</f>
        <v>DOVE</v>
      </c>
      <c r="I87" s="492" t="str">
        <f>$E$43</f>
        <v>ASH - BC01</v>
      </c>
      <c r="J87" s="187" t="s">
        <v>87</v>
      </c>
      <c r="K87" s="187">
        <f>$Q$21</f>
        <v>36</v>
      </c>
      <c r="L87" s="353">
        <f t="shared" ref="L87:L92" si="24">1/12*2</f>
        <v>0.16666666666666666</v>
      </c>
      <c r="M87" s="187">
        <f t="shared" si="19"/>
        <v>6</v>
      </c>
      <c r="N87" s="193"/>
      <c r="O87" s="189">
        <f>ROUNDUP(N87+M87,0)</f>
        <v>6</v>
      </c>
      <c r="P87" s="495"/>
      <c r="Q87" s="496"/>
    </row>
    <row r="88" spans="1:17" s="34" customFormat="1" ht="51.75" customHeight="1">
      <c r="A88" s="192">
        <v>11</v>
      </c>
      <c r="B88" s="480" t="s">
        <v>145</v>
      </c>
      <c r="C88" s="480"/>
      <c r="D88" s="480"/>
      <c r="E88" s="480"/>
      <c r="F88" s="493"/>
      <c r="G88" s="494"/>
      <c r="H88" s="492" t="str">
        <f t="shared" ref="H88" si="25">$D$27</f>
        <v>HEATHER GREY</v>
      </c>
      <c r="I88" s="492"/>
      <c r="J88" s="187" t="s">
        <v>87</v>
      </c>
      <c r="K88" s="187">
        <f>$Q$27</f>
        <v>36</v>
      </c>
      <c r="L88" s="353">
        <f t="shared" si="24"/>
        <v>0.16666666666666666</v>
      </c>
      <c r="M88" s="187">
        <f t="shared" si="19"/>
        <v>6</v>
      </c>
      <c r="N88" s="193"/>
      <c r="O88" s="189">
        <f>ROUNDUP(N88+M88,0)</f>
        <v>6</v>
      </c>
      <c r="P88" s="497"/>
      <c r="Q88" s="498"/>
    </row>
    <row r="89" spans="1:17" s="34" customFormat="1" ht="51.75" customHeight="1">
      <c r="A89" s="192">
        <v>12</v>
      </c>
      <c r="B89" s="480" t="s">
        <v>145</v>
      </c>
      <c r="C89" s="480"/>
      <c r="D89" s="480"/>
      <c r="E89" s="480"/>
      <c r="F89" s="493"/>
      <c r="G89" s="494"/>
      <c r="H89" s="492" t="str">
        <f>$D$33</f>
        <v>SANDSTONE</v>
      </c>
      <c r="I89" s="492" t="str">
        <f>$E$43</f>
        <v>ASH - BC01</v>
      </c>
      <c r="J89" s="187" t="s">
        <v>87</v>
      </c>
      <c r="K89" s="187">
        <f>$Q$33</f>
        <v>36</v>
      </c>
      <c r="L89" s="353">
        <f t="shared" si="24"/>
        <v>0.16666666666666666</v>
      </c>
      <c r="M89" s="187">
        <f t="shared" si="19"/>
        <v>6</v>
      </c>
      <c r="N89" s="193"/>
      <c r="O89" s="189">
        <f t="shared" ref="O89" si="26">ROUNDUP(N89+M89,0)</f>
        <v>6</v>
      </c>
      <c r="P89" s="541"/>
      <c r="Q89" s="542"/>
    </row>
    <row r="90" spans="1:17" s="34" customFormat="1" ht="51.75" customHeight="1">
      <c r="A90" s="433">
        <v>13</v>
      </c>
      <c r="B90" s="504" t="s">
        <v>757</v>
      </c>
      <c r="C90" s="504"/>
      <c r="D90" s="504"/>
      <c r="E90" s="504"/>
      <c r="F90" s="506" t="s">
        <v>170</v>
      </c>
      <c r="G90" s="507"/>
      <c r="H90" s="505" t="str">
        <f>$D$21</f>
        <v>DOVE</v>
      </c>
      <c r="I90" s="505" t="str">
        <f>$E$43</f>
        <v>ASH - BC01</v>
      </c>
      <c r="J90" s="429" t="s">
        <v>87</v>
      </c>
      <c r="K90" s="429">
        <f>$Q$21</f>
        <v>36</v>
      </c>
      <c r="L90" s="430">
        <f t="shared" si="24"/>
        <v>0.16666666666666666</v>
      </c>
      <c r="M90" s="429">
        <f t="shared" si="19"/>
        <v>6</v>
      </c>
      <c r="N90" s="431"/>
      <c r="O90" s="432">
        <f>ROUNDUP(N90+M90,0)</f>
        <v>6</v>
      </c>
      <c r="P90" s="500" t="s">
        <v>758</v>
      </c>
      <c r="Q90" s="501"/>
    </row>
    <row r="91" spans="1:17" s="34" customFormat="1" ht="51.75" customHeight="1">
      <c r="A91" s="433">
        <v>14</v>
      </c>
      <c r="B91" s="504" t="s">
        <v>757</v>
      </c>
      <c r="C91" s="504"/>
      <c r="D91" s="504"/>
      <c r="E91" s="504"/>
      <c r="F91" s="506"/>
      <c r="G91" s="507"/>
      <c r="H91" s="505" t="str">
        <f t="shared" ref="H91" si="27">$D$27</f>
        <v>HEATHER GREY</v>
      </c>
      <c r="I91" s="505"/>
      <c r="J91" s="429" t="s">
        <v>87</v>
      </c>
      <c r="K91" s="429">
        <f>$Q$27</f>
        <v>36</v>
      </c>
      <c r="L91" s="430">
        <f t="shared" si="24"/>
        <v>0.16666666666666666</v>
      </c>
      <c r="M91" s="429">
        <f t="shared" si="19"/>
        <v>6</v>
      </c>
      <c r="N91" s="431"/>
      <c r="O91" s="432">
        <f>ROUNDUP(N91+M91,0)</f>
        <v>6</v>
      </c>
      <c r="P91" s="502"/>
      <c r="Q91" s="503"/>
    </row>
    <row r="92" spans="1:17" s="34" customFormat="1" ht="51.75" customHeight="1">
      <c r="A92" s="433">
        <v>15</v>
      </c>
      <c r="B92" s="504" t="s">
        <v>757</v>
      </c>
      <c r="C92" s="504"/>
      <c r="D92" s="504"/>
      <c r="E92" s="504"/>
      <c r="F92" s="506"/>
      <c r="G92" s="507"/>
      <c r="H92" s="505" t="str">
        <f>$D$33</f>
        <v>SANDSTONE</v>
      </c>
      <c r="I92" s="505" t="str">
        <f>$E$43</f>
        <v>ASH - BC01</v>
      </c>
      <c r="J92" s="429" t="s">
        <v>87</v>
      </c>
      <c r="K92" s="429">
        <f>$Q$33</f>
        <v>36</v>
      </c>
      <c r="L92" s="430">
        <f t="shared" si="24"/>
        <v>0.16666666666666666</v>
      </c>
      <c r="M92" s="429">
        <f t="shared" si="19"/>
        <v>6</v>
      </c>
      <c r="N92" s="431"/>
      <c r="O92" s="432">
        <f t="shared" ref="O92" si="28">ROUNDUP(N92+M92,0)</f>
        <v>6</v>
      </c>
      <c r="P92" s="543"/>
      <c r="Q92" s="544"/>
    </row>
    <row r="93" spans="1:17" s="34" customFormat="1" ht="42.75" customHeight="1">
      <c r="A93" s="192">
        <v>16</v>
      </c>
      <c r="B93" s="480" t="s">
        <v>106</v>
      </c>
      <c r="C93" s="471"/>
      <c r="D93" s="471"/>
      <c r="E93" s="471"/>
      <c r="F93" s="183" t="s">
        <v>105</v>
      </c>
      <c r="G93" s="183"/>
      <c r="H93" s="492" t="str">
        <f>$D$21</f>
        <v>DOVE</v>
      </c>
      <c r="I93" s="492" t="str">
        <f>$E$43</f>
        <v>ASH - BC01</v>
      </c>
      <c r="J93" s="187" t="s">
        <v>87</v>
      </c>
      <c r="K93" s="187">
        <f>$Q$21</f>
        <v>36</v>
      </c>
      <c r="L93" s="194">
        <f>L84*2</f>
        <v>0.16666666666666666</v>
      </c>
      <c r="M93" s="187">
        <f t="shared" si="19"/>
        <v>6</v>
      </c>
      <c r="N93" s="193"/>
      <c r="O93" s="189">
        <f t="shared" si="20"/>
        <v>6</v>
      </c>
      <c r="P93" s="499"/>
      <c r="Q93" s="499"/>
    </row>
    <row r="94" spans="1:17" s="34" customFormat="1" ht="42.75" customHeight="1">
      <c r="A94" s="192">
        <v>17</v>
      </c>
      <c r="B94" s="480" t="s">
        <v>106</v>
      </c>
      <c r="C94" s="471"/>
      <c r="D94" s="471"/>
      <c r="E94" s="471"/>
      <c r="F94" s="183" t="s">
        <v>105</v>
      </c>
      <c r="G94" s="183"/>
      <c r="H94" s="492" t="str">
        <f t="shared" ref="H94" si="29">$D$27</f>
        <v>HEATHER GREY</v>
      </c>
      <c r="I94" s="492"/>
      <c r="J94" s="187" t="s">
        <v>87</v>
      </c>
      <c r="K94" s="187">
        <f>$Q$27</f>
        <v>36</v>
      </c>
      <c r="L94" s="194">
        <f>L85*2</f>
        <v>0.16666666666666666</v>
      </c>
      <c r="M94" s="187">
        <f t="shared" si="19"/>
        <v>6</v>
      </c>
      <c r="N94" s="193"/>
      <c r="O94" s="189">
        <f t="shared" si="20"/>
        <v>6</v>
      </c>
      <c r="P94" s="499"/>
      <c r="Q94" s="499"/>
    </row>
    <row r="95" spans="1:17" s="34" customFormat="1" ht="42.75" customHeight="1">
      <c r="A95" s="192">
        <v>18</v>
      </c>
      <c r="B95" s="480" t="s">
        <v>106</v>
      </c>
      <c r="C95" s="471"/>
      <c r="D95" s="471"/>
      <c r="E95" s="471"/>
      <c r="F95" s="183" t="s">
        <v>105</v>
      </c>
      <c r="G95" s="183"/>
      <c r="H95" s="492" t="str">
        <f>$D$33</f>
        <v>SANDSTONE</v>
      </c>
      <c r="I95" s="492" t="str">
        <f>$E$43</f>
        <v>ASH - BC01</v>
      </c>
      <c r="J95" s="187" t="s">
        <v>87</v>
      </c>
      <c r="K95" s="187">
        <f>$Q$33</f>
        <v>36</v>
      </c>
      <c r="L95" s="194">
        <f>L86*2</f>
        <v>0.16666666666666666</v>
      </c>
      <c r="M95" s="187">
        <f t="shared" si="19"/>
        <v>6</v>
      </c>
      <c r="N95" s="193"/>
      <c r="O95" s="189">
        <f t="shared" si="20"/>
        <v>6</v>
      </c>
      <c r="P95" s="499"/>
      <c r="Q95" s="499"/>
    </row>
    <row r="96" spans="1:17" s="34" customFormat="1" ht="42.75" customHeight="1">
      <c r="A96" s="192">
        <v>19</v>
      </c>
      <c r="B96" s="480" t="s">
        <v>107</v>
      </c>
      <c r="C96" s="471"/>
      <c r="D96" s="471"/>
      <c r="E96" s="471"/>
      <c r="F96" s="183" t="s">
        <v>103</v>
      </c>
      <c r="G96" s="183"/>
      <c r="H96" s="492" t="str">
        <f>$D$21</f>
        <v>DOVE</v>
      </c>
      <c r="I96" s="492" t="str">
        <f>$E$43</f>
        <v>ASH - BC01</v>
      </c>
      <c r="J96" s="187" t="s">
        <v>87</v>
      </c>
      <c r="K96" s="187">
        <f>$Q$21</f>
        <v>36</v>
      </c>
      <c r="L96" s="194">
        <f>L84</f>
        <v>8.3333333333333329E-2</v>
      </c>
      <c r="M96" s="187">
        <f t="shared" si="19"/>
        <v>3</v>
      </c>
      <c r="N96" s="193"/>
      <c r="O96" s="189">
        <f t="shared" si="20"/>
        <v>3</v>
      </c>
      <c r="P96" s="499"/>
      <c r="Q96" s="499"/>
    </row>
    <row r="97" spans="1:17" s="34" customFormat="1" ht="42.75" customHeight="1">
      <c r="A97" s="192">
        <v>20</v>
      </c>
      <c r="B97" s="480" t="s">
        <v>107</v>
      </c>
      <c r="C97" s="471"/>
      <c r="D97" s="471"/>
      <c r="E97" s="471"/>
      <c r="F97" s="183" t="s">
        <v>103</v>
      </c>
      <c r="G97" s="183"/>
      <c r="H97" s="492" t="str">
        <f t="shared" ref="H97" si="30">$D$27</f>
        <v>HEATHER GREY</v>
      </c>
      <c r="I97" s="492"/>
      <c r="J97" s="187" t="s">
        <v>87</v>
      </c>
      <c r="K97" s="187">
        <f>$Q$27</f>
        <v>36</v>
      </c>
      <c r="L97" s="194">
        <f>L85</f>
        <v>8.3333333333333329E-2</v>
      </c>
      <c r="M97" s="187">
        <f t="shared" si="19"/>
        <v>3</v>
      </c>
      <c r="N97" s="193"/>
      <c r="O97" s="189">
        <f t="shared" si="20"/>
        <v>3</v>
      </c>
      <c r="P97" s="499"/>
      <c r="Q97" s="499"/>
    </row>
    <row r="98" spans="1:17" s="34" customFormat="1" ht="42.75" customHeight="1">
      <c r="A98" s="192">
        <v>21</v>
      </c>
      <c r="B98" s="480" t="s">
        <v>107</v>
      </c>
      <c r="C98" s="471"/>
      <c r="D98" s="471"/>
      <c r="E98" s="471"/>
      <c r="F98" s="183" t="s">
        <v>103</v>
      </c>
      <c r="G98" s="183"/>
      <c r="H98" s="492" t="str">
        <f>$D$33</f>
        <v>SANDSTONE</v>
      </c>
      <c r="I98" s="492" t="str">
        <f>$E$43</f>
        <v>ASH - BC01</v>
      </c>
      <c r="J98" s="187" t="s">
        <v>87</v>
      </c>
      <c r="K98" s="187">
        <f>$Q$33</f>
        <v>36</v>
      </c>
      <c r="L98" s="194">
        <f>L86</f>
        <v>8.3333333333333329E-2</v>
      </c>
      <c r="M98" s="187">
        <f t="shared" si="19"/>
        <v>3</v>
      </c>
      <c r="N98" s="193"/>
      <c r="O98" s="189">
        <f t="shared" si="20"/>
        <v>3</v>
      </c>
      <c r="P98" s="499"/>
      <c r="Q98" s="499"/>
    </row>
    <row r="99" spans="1:17" s="15" customFormat="1" ht="27.5">
      <c r="A99" s="92"/>
      <c r="B99" s="92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</row>
    <row r="100" spans="1:17" s="15" customFormat="1" ht="33" customHeight="1">
      <c r="B100" s="87" t="s">
        <v>111</v>
      </c>
      <c r="C100" s="88"/>
      <c r="D100" s="89"/>
      <c r="E100" s="89"/>
      <c r="F100" s="89"/>
      <c r="G100" s="90"/>
      <c r="H100" s="89"/>
      <c r="I100" s="89"/>
      <c r="J100" s="508" t="s">
        <v>112</v>
      </c>
      <c r="K100" s="508"/>
      <c r="L100" s="508"/>
      <c r="M100" s="508"/>
      <c r="N100" s="508"/>
      <c r="O100" s="33"/>
      <c r="P100" s="33"/>
      <c r="Q100" s="34"/>
    </row>
    <row r="101" spans="1:17" s="92" customFormat="1" ht="54.65" customHeight="1">
      <c r="A101" s="92">
        <v>1</v>
      </c>
      <c r="B101" s="94" t="s">
        <v>113</v>
      </c>
      <c r="C101" s="98" t="s">
        <v>114</v>
      </c>
      <c r="D101" s="15"/>
      <c r="E101" s="15"/>
      <c r="F101" s="15"/>
      <c r="G101" s="35"/>
      <c r="H101" s="35"/>
      <c r="I101" s="35"/>
      <c r="J101" s="35"/>
      <c r="K101" s="19"/>
      <c r="L101" s="19"/>
      <c r="M101" s="35"/>
      <c r="N101" s="35"/>
      <c r="O101" s="35"/>
      <c r="P101" s="35"/>
      <c r="Q101" s="35"/>
    </row>
    <row r="102" spans="1:17" s="15" customFormat="1" ht="34.5" hidden="1" customHeight="1">
      <c r="A102" s="92"/>
      <c r="B102" s="509" t="s">
        <v>115</v>
      </c>
      <c r="C102" s="510"/>
      <c r="D102" s="510"/>
      <c r="E102" s="510"/>
      <c r="F102" s="510"/>
      <c r="G102" s="510"/>
      <c r="H102" s="510"/>
      <c r="I102" s="511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59.25" hidden="1" customHeight="1">
      <c r="A103" s="92"/>
      <c r="B103" s="512" t="s">
        <v>73</v>
      </c>
      <c r="C103" s="513"/>
      <c r="D103" s="514" t="s">
        <v>116</v>
      </c>
      <c r="E103" s="515"/>
      <c r="F103" s="515"/>
      <c r="G103" s="515"/>
      <c r="H103" s="515"/>
      <c r="I103" s="516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8.650000000000006" hidden="1" customHeight="1">
      <c r="A104" s="92"/>
      <c r="B104" s="528" t="str">
        <f>$D$21</f>
        <v>DOVE</v>
      </c>
      <c r="C104" s="528" t="str">
        <f t="shared" ref="C104:C107" si="31">$E$43</f>
        <v>ASH - BC01</v>
      </c>
      <c r="D104" s="517"/>
      <c r="E104" s="518"/>
      <c r="F104" s="518"/>
      <c r="G104" s="518"/>
      <c r="H104" s="518"/>
      <c r="I104" s="519"/>
      <c r="J104" s="35"/>
      <c r="K104" s="35"/>
      <c r="L104" s="35"/>
      <c r="M104" s="35"/>
      <c r="N104" s="35"/>
      <c r="O104" s="35"/>
    </row>
    <row r="105" spans="1:17" s="15" customFormat="1" ht="78.75" hidden="1" customHeight="1">
      <c r="A105" s="92"/>
      <c r="B105" s="528" t="str">
        <f t="shared" ref="B105" si="32">$D$27</f>
        <v>HEATHER GREY</v>
      </c>
      <c r="C105" s="528"/>
      <c r="D105" s="517"/>
      <c r="E105" s="518"/>
      <c r="F105" s="518"/>
      <c r="G105" s="518"/>
      <c r="H105" s="518"/>
      <c r="I105" s="519"/>
      <c r="J105" s="35"/>
      <c r="K105" s="35"/>
      <c r="L105" s="35"/>
      <c r="M105" s="35"/>
      <c r="N105" s="35"/>
      <c r="O105" s="35"/>
    </row>
    <row r="106" spans="1:17" s="15" customFormat="1" ht="78.75" hidden="1" customHeight="1">
      <c r="A106" s="92"/>
      <c r="B106" s="528" t="str">
        <f>$D$33</f>
        <v>SANDSTONE</v>
      </c>
      <c r="C106" s="528" t="str">
        <f t="shared" si="31"/>
        <v>ASH - BC01</v>
      </c>
      <c r="D106" s="517"/>
      <c r="E106" s="518"/>
      <c r="F106" s="518"/>
      <c r="G106" s="518"/>
      <c r="H106" s="518"/>
      <c r="I106" s="519"/>
      <c r="J106" s="35"/>
      <c r="K106" s="35"/>
      <c r="L106" s="35"/>
      <c r="M106" s="35"/>
      <c r="N106" s="35"/>
      <c r="O106" s="35"/>
    </row>
    <row r="107" spans="1:17" s="15" customFormat="1" ht="78.75" hidden="1" customHeight="1">
      <c r="A107" s="92"/>
      <c r="B107" s="528" t="e">
        <f>#REF!</f>
        <v>#REF!</v>
      </c>
      <c r="C107" s="528" t="str">
        <f t="shared" si="31"/>
        <v>ASH - BC01</v>
      </c>
      <c r="D107" s="517"/>
      <c r="E107" s="518"/>
      <c r="F107" s="518"/>
      <c r="G107" s="518"/>
      <c r="H107" s="518"/>
      <c r="I107" s="519"/>
      <c r="J107" s="35"/>
      <c r="K107" s="35"/>
      <c r="L107" s="35"/>
      <c r="M107" s="35"/>
      <c r="N107" s="35"/>
      <c r="O107" s="35"/>
    </row>
    <row r="108" spans="1:17" s="15" customFormat="1" ht="27.5" hidden="1"/>
    <row r="109" spans="1:17" s="15" customFormat="1" ht="28" hidden="1">
      <c r="A109" s="92"/>
      <c r="B109" s="509"/>
      <c r="C109" s="510"/>
      <c r="D109" s="520"/>
      <c r="E109" s="520"/>
      <c r="F109" s="520"/>
      <c r="G109" s="520"/>
      <c r="H109" s="520"/>
      <c r="I109" s="521"/>
      <c r="J109" s="35"/>
      <c r="K109" s="35"/>
      <c r="L109" s="35"/>
    </row>
    <row r="110" spans="1:17" s="15" customFormat="1" ht="40.5" hidden="1" customHeight="1">
      <c r="A110" s="92"/>
      <c r="B110" s="522"/>
      <c r="C110" s="523"/>
      <c r="D110" s="249" t="s">
        <v>117</v>
      </c>
      <c r="E110" s="249" t="s">
        <v>35</v>
      </c>
      <c r="F110" s="249" t="s">
        <v>36</v>
      </c>
      <c r="G110" s="249" t="s">
        <v>37</v>
      </c>
      <c r="H110" s="249" t="s">
        <v>38</v>
      </c>
      <c r="I110" s="249" t="s">
        <v>39</v>
      </c>
      <c r="J110" s="35"/>
    </row>
    <row r="111" spans="1:17" s="15" customFormat="1" ht="178.5" hidden="1" customHeight="1">
      <c r="A111" s="92"/>
      <c r="B111" s="524" t="s">
        <v>118</v>
      </c>
      <c r="C111" s="524"/>
      <c r="D111" s="525">
        <v>2.2000000000000002</v>
      </c>
      <c r="E111" s="526"/>
      <c r="F111" s="526"/>
      <c r="G111" s="526"/>
      <c r="H111" s="526"/>
      <c r="I111" s="527"/>
      <c r="J111" s="35"/>
    </row>
    <row r="112" spans="1:17" s="15" customFormat="1" ht="12.7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35"/>
      <c r="K112" s="35"/>
      <c r="L112" s="35"/>
      <c r="M112" s="35"/>
      <c r="N112" s="35"/>
      <c r="O112" s="35"/>
      <c r="P112" s="35"/>
      <c r="Q112" s="35"/>
    </row>
    <row r="113" spans="1:17" s="92" customFormat="1" ht="54.65" customHeight="1">
      <c r="A113" s="16">
        <v>2</v>
      </c>
      <c r="B113" s="94" t="s">
        <v>119</v>
      </c>
      <c r="C113" s="540" t="s">
        <v>752</v>
      </c>
      <c r="D113" s="540"/>
      <c r="E113" s="540"/>
      <c r="F113" s="540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28" hidden="1">
      <c r="A114" s="92"/>
      <c r="B114" s="509" t="s">
        <v>115</v>
      </c>
      <c r="C114" s="510"/>
      <c r="D114" s="510"/>
      <c r="E114" s="510"/>
      <c r="F114" s="510"/>
      <c r="G114" s="510"/>
      <c r="H114" s="510"/>
      <c r="I114" s="511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63" hidden="1" customHeight="1">
      <c r="A115" s="92"/>
      <c r="B115" s="512" t="s">
        <v>73</v>
      </c>
      <c r="C115" s="513"/>
      <c r="D115" s="514" t="s">
        <v>116</v>
      </c>
      <c r="E115" s="515"/>
      <c r="F115" s="515"/>
      <c r="G115" s="515"/>
      <c r="H115" s="515"/>
      <c r="I115" s="516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2" hidden="1" customHeight="1">
      <c r="A116" s="92"/>
      <c r="B116" s="528" t="str">
        <f>$D$21</f>
        <v>DOVE</v>
      </c>
      <c r="C116" s="528" t="str">
        <f t="shared" ref="C116:C119" si="33">$E$43</f>
        <v>ASH - BC01</v>
      </c>
      <c r="D116" s="517" t="s">
        <v>121</v>
      </c>
      <c r="E116" s="518"/>
      <c r="F116" s="518"/>
      <c r="G116" s="518"/>
      <c r="H116" s="518"/>
      <c r="I116" s="519"/>
      <c r="J116" s="35"/>
      <c r="K116" s="35"/>
      <c r="L116" s="35"/>
      <c r="M116" s="35"/>
      <c r="N116" s="35"/>
      <c r="O116" s="35"/>
    </row>
    <row r="117" spans="1:17" s="15" customFormat="1" ht="54" hidden="1" customHeight="1">
      <c r="A117" s="92"/>
      <c r="B117" s="528" t="str">
        <f t="shared" ref="B117" si="34">$D$27</f>
        <v>HEATHER GREY</v>
      </c>
      <c r="C117" s="528"/>
      <c r="D117" s="517" t="s">
        <v>122</v>
      </c>
      <c r="E117" s="518"/>
      <c r="F117" s="518"/>
      <c r="G117" s="518"/>
      <c r="H117" s="518"/>
      <c r="I117" s="519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528" t="str">
        <f>$D$33</f>
        <v>SANDSTONE</v>
      </c>
      <c r="C118" s="528" t="str">
        <f t="shared" si="33"/>
        <v>ASH - BC01</v>
      </c>
      <c r="D118" s="517" t="s">
        <v>121</v>
      </c>
      <c r="E118" s="518"/>
      <c r="F118" s="518"/>
      <c r="G118" s="518"/>
      <c r="H118" s="518"/>
      <c r="I118" s="519"/>
      <c r="J118" s="35"/>
      <c r="K118" s="35"/>
      <c r="L118" s="35"/>
      <c r="M118" s="35"/>
      <c r="N118" s="35"/>
      <c r="O118" s="35"/>
    </row>
    <row r="119" spans="1:17" s="15" customFormat="1" ht="54" hidden="1" customHeight="1">
      <c r="A119" s="92"/>
      <c r="B119" s="528" t="e">
        <f>#REF!</f>
        <v>#REF!</v>
      </c>
      <c r="C119" s="528" t="str">
        <f t="shared" si="33"/>
        <v>ASH - BC01</v>
      </c>
      <c r="D119" s="517" t="s">
        <v>122</v>
      </c>
      <c r="E119" s="518"/>
      <c r="F119" s="518"/>
      <c r="G119" s="518"/>
      <c r="H119" s="518"/>
      <c r="I119" s="519"/>
      <c r="J119" s="35"/>
      <c r="K119" s="35"/>
      <c r="L119" s="35"/>
      <c r="M119" s="35"/>
      <c r="N119" s="35"/>
      <c r="O119" s="35"/>
    </row>
    <row r="120" spans="1:17" s="15" customFormat="1" ht="54" hidden="1" customHeight="1">
      <c r="A120" s="92"/>
      <c r="B120" s="198"/>
      <c r="C120" s="199"/>
      <c r="D120" s="200"/>
      <c r="E120" s="184"/>
      <c r="F120" s="184"/>
      <c r="G120" s="184"/>
      <c r="H120" s="184"/>
      <c r="I120" s="185"/>
      <c r="J120" s="35"/>
      <c r="K120" s="35"/>
      <c r="L120" s="35"/>
      <c r="M120" s="35"/>
      <c r="N120" s="35"/>
      <c r="O120" s="35"/>
    </row>
    <row r="121" spans="1:17" s="15" customFormat="1" ht="28" hidden="1">
      <c r="A121" s="92"/>
      <c r="B121" s="509" t="s">
        <v>123</v>
      </c>
      <c r="C121" s="510"/>
      <c r="D121" s="520"/>
      <c r="E121" s="520"/>
      <c r="F121" s="520"/>
      <c r="G121" s="520"/>
      <c r="H121" s="520"/>
      <c r="I121" s="521"/>
      <c r="J121" s="35"/>
      <c r="K121" s="35"/>
      <c r="L121" s="35"/>
    </row>
    <row r="122" spans="1:17" s="15" customFormat="1" ht="56.25" hidden="1" customHeight="1">
      <c r="A122" s="92"/>
      <c r="B122" s="522"/>
      <c r="C122" s="523"/>
      <c r="D122" s="249" t="s">
        <v>117</v>
      </c>
      <c r="E122" s="249" t="s">
        <v>35</v>
      </c>
      <c r="F122" s="249" t="s">
        <v>36</v>
      </c>
      <c r="G122" s="249" t="s">
        <v>37</v>
      </c>
      <c r="H122" s="249" t="s">
        <v>38</v>
      </c>
      <c r="I122" s="249" t="s">
        <v>39</v>
      </c>
      <c r="J122" s="35"/>
    </row>
    <row r="123" spans="1:17" s="15" customFormat="1" ht="151.5" hidden="1" customHeight="1">
      <c r="A123" s="92"/>
      <c r="B123" s="524" t="s">
        <v>124</v>
      </c>
      <c r="C123" s="524"/>
      <c r="D123" s="177"/>
      <c r="E123" s="178"/>
      <c r="F123" s="178"/>
      <c r="G123" s="178"/>
      <c r="H123" s="178"/>
      <c r="I123" s="178"/>
      <c r="J123" s="35"/>
    </row>
    <row r="124" spans="1:17" s="15" customFormat="1" ht="27.5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48.65" customHeight="1">
      <c r="A125" s="16">
        <v>3</v>
      </c>
      <c r="B125" s="94" t="s">
        <v>125</v>
      </c>
      <c r="C125" s="18" t="s">
        <v>955</v>
      </c>
      <c r="D125" s="18"/>
      <c r="E125" s="18"/>
      <c r="F125" s="18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36.65" customHeight="1">
      <c r="A126" s="92"/>
      <c r="B126" s="512" t="s">
        <v>73</v>
      </c>
      <c r="C126" s="513"/>
      <c r="D126" s="514" t="s">
        <v>957</v>
      </c>
      <c r="E126" s="515"/>
      <c r="F126" s="515"/>
      <c r="G126" s="515"/>
      <c r="H126" s="515"/>
      <c r="I126" s="516"/>
      <c r="J126" s="35"/>
      <c r="K126" s="35"/>
      <c r="L126" s="35"/>
      <c r="M126" s="35"/>
      <c r="N126" s="35"/>
      <c r="O126" s="35"/>
      <c r="P126" s="35"/>
      <c r="Q126" s="35"/>
    </row>
    <row r="127" spans="1:17" s="15" customFormat="1" ht="77.150000000000006" customHeight="1">
      <c r="A127" s="92"/>
      <c r="B127" s="528" t="str">
        <f>$D$21</f>
        <v>DOVE</v>
      </c>
      <c r="C127" s="528" t="str">
        <f t="shared" ref="C127:C129" si="35">$E$43</f>
        <v>ASH - BC01</v>
      </c>
      <c r="D127" s="531" t="s">
        <v>956</v>
      </c>
      <c r="E127" s="532"/>
      <c r="F127" s="532"/>
      <c r="G127" s="532"/>
      <c r="H127" s="532"/>
      <c r="I127" s="533"/>
      <c r="J127" s="35"/>
      <c r="K127" s="35"/>
      <c r="L127" s="35"/>
      <c r="M127" s="35"/>
      <c r="N127" s="35"/>
      <c r="O127" s="35"/>
    </row>
    <row r="128" spans="1:17" s="15" customFormat="1" ht="77.150000000000006" customHeight="1">
      <c r="A128" s="92"/>
      <c r="B128" s="528" t="str">
        <f t="shared" ref="B128" si="36">$D$27</f>
        <v>HEATHER GREY</v>
      </c>
      <c r="C128" s="528"/>
      <c r="D128" s="534"/>
      <c r="E128" s="535"/>
      <c r="F128" s="535"/>
      <c r="G128" s="535"/>
      <c r="H128" s="535"/>
      <c r="I128" s="536"/>
      <c r="J128" s="35"/>
      <c r="K128" s="35"/>
      <c r="L128" s="35"/>
      <c r="M128" s="35"/>
      <c r="N128" s="35"/>
      <c r="O128" s="35"/>
    </row>
    <row r="129" spans="1:17" s="15" customFormat="1" ht="77.150000000000006" customHeight="1">
      <c r="A129" s="92"/>
      <c r="B129" s="528" t="str">
        <f>$D$33</f>
        <v>SANDSTONE</v>
      </c>
      <c r="C129" s="528" t="str">
        <f t="shared" si="35"/>
        <v>ASH - BC01</v>
      </c>
      <c r="D129" s="537"/>
      <c r="E129" s="538"/>
      <c r="F129" s="538"/>
      <c r="G129" s="538"/>
      <c r="H129" s="538"/>
      <c r="I129" s="539"/>
      <c r="J129" s="35"/>
      <c r="K129" s="35"/>
      <c r="L129" s="35"/>
      <c r="M129" s="35"/>
      <c r="N129" s="35"/>
      <c r="O129" s="35"/>
    </row>
    <row r="130" spans="1:17" s="15" customFormat="1" ht="27.5">
      <c r="A130" s="92"/>
      <c r="B130" s="92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29.25" customHeight="1">
      <c r="B131" s="508" t="s">
        <v>127</v>
      </c>
      <c r="C131" s="508"/>
      <c r="D131" s="508"/>
      <c r="E131" s="508"/>
      <c r="G131" s="35"/>
      <c r="N131" s="34"/>
      <c r="O131" s="33"/>
      <c r="P131" s="33"/>
      <c r="Q131" s="34"/>
    </row>
    <row r="132" spans="1:17" s="15" customFormat="1" ht="35.25" customHeight="1">
      <c r="A132" s="92">
        <v>1</v>
      </c>
      <c r="B132" s="95" t="s">
        <v>128</v>
      </c>
      <c r="C132" s="92"/>
      <c r="D132" s="92"/>
      <c r="G132" s="35"/>
      <c r="N132" s="34"/>
      <c r="O132" s="33"/>
      <c r="P132" s="33"/>
      <c r="Q132" s="34"/>
    </row>
    <row r="133" spans="1:17" s="15" customFormat="1" ht="35.25" customHeight="1">
      <c r="A133" s="92">
        <v>2</v>
      </c>
      <c r="B133" s="95" t="s">
        <v>129</v>
      </c>
      <c r="C133" s="92"/>
      <c r="D133" s="92"/>
      <c r="G133" s="35"/>
      <c r="N133" s="34"/>
      <c r="O133" s="33"/>
      <c r="P133" s="33"/>
      <c r="Q133" s="34"/>
    </row>
    <row r="134" spans="1:17" s="15" customFormat="1" ht="35.25" customHeight="1">
      <c r="A134" s="92">
        <v>3</v>
      </c>
      <c r="B134" s="95" t="s">
        <v>130</v>
      </c>
      <c r="C134" s="92"/>
      <c r="D134" s="92"/>
      <c r="G134" s="35"/>
      <c r="N134" s="34"/>
      <c r="O134" s="33"/>
      <c r="P134" s="33"/>
      <c r="Q134" s="34"/>
    </row>
    <row r="135" spans="1:17" s="18" customFormat="1" ht="28">
      <c r="A135" s="16"/>
      <c r="B135" s="250" t="s">
        <v>131</v>
      </c>
      <c r="C135" s="251" t="s">
        <v>723</v>
      </c>
      <c r="D135" s="251" t="s">
        <v>117</v>
      </c>
      <c r="E135" s="251" t="s">
        <v>35</v>
      </c>
      <c r="F135" s="251" t="s">
        <v>36</v>
      </c>
      <c r="G135" s="251" t="s">
        <v>37</v>
      </c>
      <c r="H135" s="251" t="s">
        <v>38</v>
      </c>
      <c r="I135" s="251" t="s">
        <v>39</v>
      </c>
      <c r="J135" s="251" t="s">
        <v>40</v>
      </c>
      <c r="M135" s="36"/>
      <c r="N135" s="37"/>
      <c r="O135" s="37"/>
      <c r="P135" s="36"/>
    </row>
    <row r="136" spans="1:17" s="18" customFormat="1" ht="50.15" customHeight="1">
      <c r="A136" s="16"/>
      <c r="B136" s="250" t="s">
        <v>132</v>
      </c>
      <c r="C136" s="189">
        <f>G35</f>
        <v>6</v>
      </c>
      <c r="D136" s="189">
        <f t="shared" ref="D136:I136" si="37">H35</f>
        <v>12</v>
      </c>
      <c r="E136" s="189">
        <f t="shared" si="37"/>
        <v>18</v>
      </c>
      <c r="F136" s="189">
        <f t="shared" si="37"/>
        <v>30</v>
      </c>
      <c r="G136" s="189">
        <f t="shared" si="37"/>
        <v>21</v>
      </c>
      <c r="H136" s="189">
        <f t="shared" si="37"/>
        <v>15</v>
      </c>
      <c r="I136" s="189">
        <f t="shared" si="37"/>
        <v>6</v>
      </c>
      <c r="J136" s="189">
        <f>SUM(C136:I136)</f>
        <v>108</v>
      </c>
      <c r="M136" s="36"/>
      <c r="N136" s="37"/>
      <c r="O136" s="37"/>
      <c r="P136" s="36"/>
    </row>
    <row r="137" spans="1:17" s="96" customFormat="1" ht="133" customHeight="1">
      <c r="G137" s="97"/>
    </row>
    <row r="138" spans="1:17" s="96" customFormat="1" ht="27.5">
      <c r="G138" s="97"/>
    </row>
    <row r="139" spans="1:17" s="96" customFormat="1" ht="27.5">
      <c r="G139" s="97"/>
    </row>
    <row r="140" spans="1:17" s="96" customFormat="1" ht="27.5">
      <c r="G140" s="97"/>
    </row>
    <row r="141" spans="1:17" s="96" customFormat="1" ht="27.5">
      <c r="G141" s="97"/>
    </row>
    <row r="142" spans="1:17" s="96" customFormat="1" ht="27.5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</sheetData>
  <mergeCells count="201">
    <mergeCell ref="B131:E131"/>
    <mergeCell ref="B121:I121"/>
    <mergeCell ref="B122:C122"/>
    <mergeCell ref="B123:C123"/>
    <mergeCell ref="B126:C126"/>
    <mergeCell ref="D126:I126"/>
    <mergeCell ref="B127:C127"/>
    <mergeCell ref="D127:I129"/>
    <mergeCell ref="B128:C128"/>
    <mergeCell ref="B129:C129"/>
    <mergeCell ref="B117:C117"/>
    <mergeCell ref="D117:I117"/>
    <mergeCell ref="B118:C118"/>
    <mergeCell ref="D118:I118"/>
    <mergeCell ref="B119:C119"/>
    <mergeCell ref="D119:I119"/>
    <mergeCell ref="C113:F113"/>
    <mergeCell ref="B114:I114"/>
    <mergeCell ref="B115:C115"/>
    <mergeCell ref="D115:I115"/>
    <mergeCell ref="B116:C116"/>
    <mergeCell ref="D116:I116"/>
    <mergeCell ref="B107:C107"/>
    <mergeCell ref="D107:I107"/>
    <mergeCell ref="B109:I109"/>
    <mergeCell ref="B110:C110"/>
    <mergeCell ref="B111:C111"/>
    <mergeCell ref="D111:I111"/>
    <mergeCell ref="B104:C104"/>
    <mergeCell ref="D104:I104"/>
    <mergeCell ref="B105:C105"/>
    <mergeCell ref="D105:I105"/>
    <mergeCell ref="B106:C106"/>
    <mergeCell ref="D106:I106"/>
    <mergeCell ref="B98:E98"/>
    <mergeCell ref="H98:I98"/>
    <mergeCell ref="P98:Q98"/>
    <mergeCell ref="J100:N100"/>
    <mergeCell ref="B102:I102"/>
    <mergeCell ref="B103:C103"/>
    <mergeCell ref="D103:I103"/>
    <mergeCell ref="B96:E96"/>
    <mergeCell ref="H96:I96"/>
    <mergeCell ref="P96:Q96"/>
    <mergeCell ref="B97:E97"/>
    <mergeCell ref="H97:I97"/>
    <mergeCell ref="P97:Q97"/>
    <mergeCell ref="B94:E94"/>
    <mergeCell ref="H94:I94"/>
    <mergeCell ref="P94:Q94"/>
    <mergeCell ref="B95:E95"/>
    <mergeCell ref="H95:I95"/>
    <mergeCell ref="P95:Q95"/>
    <mergeCell ref="P90:Q92"/>
    <mergeCell ref="B91:E91"/>
    <mergeCell ref="H91:I91"/>
    <mergeCell ref="B92:E92"/>
    <mergeCell ref="H92:I92"/>
    <mergeCell ref="B93:E93"/>
    <mergeCell ref="H93:I93"/>
    <mergeCell ref="P93:Q93"/>
    <mergeCell ref="B89:E89"/>
    <mergeCell ref="H89:I89"/>
    <mergeCell ref="B90:E90"/>
    <mergeCell ref="F90:F92"/>
    <mergeCell ref="G90:G92"/>
    <mergeCell ref="H90:I90"/>
    <mergeCell ref="B86:E86"/>
    <mergeCell ref="H86:I86"/>
    <mergeCell ref="P86:Q86"/>
    <mergeCell ref="B87:E87"/>
    <mergeCell ref="F87:F89"/>
    <mergeCell ref="G87:G89"/>
    <mergeCell ref="H87:I87"/>
    <mergeCell ref="P87:Q89"/>
    <mergeCell ref="B88:E88"/>
    <mergeCell ref="H88:I88"/>
    <mergeCell ref="B84:E84"/>
    <mergeCell ref="H84:I84"/>
    <mergeCell ref="P84:Q84"/>
    <mergeCell ref="B85:E85"/>
    <mergeCell ref="H85:I85"/>
    <mergeCell ref="P85:Q85"/>
    <mergeCell ref="B81:E81"/>
    <mergeCell ref="G81:G83"/>
    <mergeCell ref="H81:I81"/>
    <mergeCell ref="P81:Q83"/>
    <mergeCell ref="B82:E82"/>
    <mergeCell ref="H82:I82"/>
    <mergeCell ref="B83:E83"/>
    <mergeCell ref="H83:I83"/>
    <mergeCell ref="B78:E78"/>
    <mergeCell ref="F78:F80"/>
    <mergeCell ref="G78:G80"/>
    <mergeCell ref="H78:I78"/>
    <mergeCell ref="P78:Q80"/>
    <mergeCell ref="B79:E79"/>
    <mergeCell ref="H79:I79"/>
    <mergeCell ref="B80:E80"/>
    <mergeCell ref="H80:I80"/>
    <mergeCell ref="B74:E74"/>
    <mergeCell ref="H74:I74"/>
    <mergeCell ref="B75:E75"/>
    <mergeCell ref="H75:I75"/>
    <mergeCell ref="A77:E77"/>
    <mergeCell ref="H77:I77"/>
    <mergeCell ref="P70:Q72"/>
    <mergeCell ref="B71:E71"/>
    <mergeCell ref="H71:I71"/>
    <mergeCell ref="B72:E72"/>
    <mergeCell ref="H72:I72"/>
    <mergeCell ref="B73:E73"/>
    <mergeCell ref="F73:F75"/>
    <mergeCell ref="G73:G75"/>
    <mergeCell ref="H73:I73"/>
    <mergeCell ref="P73:Q75"/>
    <mergeCell ref="P77:Q77"/>
    <mergeCell ref="B68:E68"/>
    <mergeCell ref="H68:I68"/>
    <mergeCell ref="B69:E69"/>
    <mergeCell ref="H69:I69"/>
    <mergeCell ref="B70:E70"/>
    <mergeCell ref="F70:F72"/>
    <mergeCell ref="G70:G72"/>
    <mergeCell ref="H70:I70"/>
    <mergeCell ref="P64:Q66"/>
    <mergeCell ref="B65:E65"/>
    <mergeCell ref="H65:I65"/>
    <mergeCell ref="B66:E66"/>
    <mergeCell ref="H66:I66"/>
    <mergeCell ref="B67:E67"/>
    <mergeCell ref="F67:F69"/>
    <mergeCell ref="G67:G69"/>
    <mergeCell ref="H67:I67"/>
    <mergeCell ref="P67:Q69"/>
    <mergeCell ref="B63:E63"/>
    <mergeCell ref="H63:I63"/>
    <mergeCell ref="B64:E64"/>
    <mergeCell ref="F64:F66"/>
    <mergeCell ref="G64:G66"/>
    <mergeCell ref="H64:I64"/>
    <mergeCell ref="B58:C58"/>
    <mergeCell ref="N58:Q58"/>
    <mergeCell ref="A60:E60"/>
    <mergeCell ref="H60:I60"/>
    <mergeCell ref="P60:Q60"/>
    <mergeCell ref="B61:E61"/>
    <mergeCell ref="H61:I61"/>
    <mergeCell ref="P61:Q63"/>
    <mergeCell ref="B62:E62"/>
    <mergeCell ref="H62:I62"/>
    <mergeCell ref="A54:Q54"/>
    <mergeCell ref="B55:C55"/>
    <mergeCell ref="N55:Q55"/>
    <mergeCell ref="B56:C56"/>
    <mergeCell ref="N56:Q56"/>
    <mergeCell ref="B57:C57"/>
    <mergeCell ref="N57:Q57"/>
    <mergeCell ref="B51:C51"/>
    <mergeCell ref="N51:Q51"/>
    <mergeCell ref="B52:C52"/>
    <mergeCell ref="N52:Q52"/>
    <mergeCell ref="B53:C53"/>
    <mergeCell ref="N53:Q53"/>
    <mergeCell ref="B46:C46"/>
    <mergeCell ref="N46:Q46"/>
    <mergeCell ref="A48:C48"/>
    <mergeCell ref="N48:Q48"/>
    <mergeCell ref="A49:Q49"/>
    <mergeCell ref="B50:C50"/>
    <mergeCell ref="N50:Q50"/>
    <mergeCell ref="B43:C43"/>
    <mergeCell ref="N43:Q43"/>
    <mergeCell ref="B44:C44"/>
    <mergeCell ref="N44:Q44"/>
    <mergeCell ref="B45:C45"/>
    <mergeCell ref="N45:Q45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5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4"/>
  <sheetViews>
    <sheetView view="pageBreakPreview" topLeftCell="A9" zoomScale="25" zoomScaleNormal="40" zoomScaleSheetLayoutView="25" zoomScalePageLayoutView="25" workbookViewId="0">
      <selection activeCell="B10" sqref="B10"/>
    </sheetView>
  </sheetViews>
  <sheetFormatPr defaultColWidth="9.1796875" defaultRowHeight="20"/>
  <cols>
    <col min="1" max="1" width="64.453125" style="79" customWidth="1"/>
    <col min="2" max="3" width="95.7265625" style="80" customWidth="1"/>
    <col min="4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D15-SHD130V3A2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HOODIE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ASH - BC01</v>
      </c>
      <c r="C6" s="144" t="str">
        <f>'1. CUTTING DOCKET'!$E$50</f>
        <v>HEATHER GREY - BC06</v>
      </c>
      <c r="D6" s="144" t="str">
        <f>'1. CUTTING DOCKET'!$E$55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98" t="str">
        <f>'1. CUTTING DOCKET'!M11</f>
        <v>100%COTTON SEMI BRUSHED (20/1+20/1+10/2) washing_ 14GG _460GSM</v>
      </c>
      <c r="C7" s="598"/>
      <c r="D7" s="598"/>
      <c r="E7" s="598"/>
    </row>
    <row r="8" spans="1:12" s="77" customFormat="1" ht="409.6" customHeight="1">
      <c r="A8" s="145" t="str">
        <f>'1. CUTTING DOCKET'!D43</f>
        <v>VẢI CHÍNH</v>
      </c>
      <c r="B8" s="435"/>
      <c r="C8" s="435"/>
      <c r="D8" s="435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435"/>
      <c r="C10" s="435"/>
      <c r="D10" s="435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98" t="e">
        <f>'1. CUTTING DOCKET'!#REF!</f>
        <v>#REF!</v>
      </c>
      <c r="C11" s="598"/>
      <c r="D11" s="598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03"/>
      <c r="C12" s="603"/>
      <c r="D12" s="603"/>
      <c r="E12" s="147"/>
      <c r="L12" s="78"/>
    </row>
    <row r="13" spans="1:12" s="77" customFormat="1" ht="157.5" customHeight="1">
      <c r="A13" s="144" t="str">
        <f>'1. CUTTING DOCKET'!B45</f>
        <v>SINGLE JERSEY_100% COTTON_190GSM</v>
      </c>
      <c r="B13" s="144" t="str">
        <f>B6</f>
        <v>ASH - BC01</v>
      </c>
      <c r="C13" s="144" t="str">
        <f t="shared" ref="C13:D13" si="1">C6</f>
        <v>HEATHER GREY - BC06</v>
      </c>
      <c r="D13" s="144" t="str">
        <f t="shared" si="1"/>
        <v>OATLMEAL - BC0279</v>
      </c>
      <c r="E13" s="144" t="e">
        <f>'1. CUTTING DOCKET'!#REF!</f>
        <v>#REF!</v>
      </c>
    </row>
    <row r="14" spans="1:12" s="77" customFormat="1" ht="409.6" customHeight="1">
      <c r="A14" s="145" t="str">
        <f>'1. CUTTING DOCKET'!D45</f>
        <v>LÓT NẸP ĐỊNH HÌNH</v>
      </c>
      <c r="B14" s="435"/>
      <c r="C14" s="435"/>
      <c r="D14" s="435"/>
      <c r="E14" s="146"/>
      <c r="L14" s="78"/>
    </row>
    <row r="15" spans="1:12" s="77" customFormat="1" ht="157.5" customHeight="1">
      <c r="A15" s="144" t="str">
        <f>'1. CUTTING DOCKET'!B46</f>
        <v>KEO MÈ</v>
      </c>
      <c r="B15" s="144" t="str">
        <f>'1. CUTTING DOCKET'!E46</f>
        <v>WHITE</v>
      </c>
      <c r="C15" s="144" t="s">
        <v>109</v>
      </c>
      <c r="D15" s="144" t="s">
        <v>109</v>
      </c>
      <c r="E15" s="144" t="e">
        <f>'1. CUTTING DOCKET'!#REF!</f>
        <v>#REF!</v>
      </c>
    </row>
    <row r="16" spans="1:12" s="77" customFormat="1" ht="409.6" customHeight="1">
      <c r="A16" s="145" t="str">
        <f>'1. CUTTING DOCKET'!D46</f>
        <v>CƠI TÚI</v>
      </c>
      <c r="B16" s="435"/>
      <c r="C16" s="435"/>
      <c r="D16" s="435"/>
      <c r="E16" s="146"/>
      <c r="L16" s="78"/>
    </row>
    <row r="17" spans="1:5" s="77" customFormat="1" ht="74.25" customHeight="1">
      <c r="A17" s="144" t="s">
        <v>173</v>
      </c>
      <c r="B17" s="148" t="str">
        <f>'1. CUTTING DOCKET'!$F$61</f>
        <v>ASH - BC01</v>
      </c>
      <c r="C17" s="148" t="str">
        <f>'1. CUTTING DOCKET'!$F$62</f>
        <v>HEATHER GREY - BC06</v>
      </c>
      <c r="D17" s="148" t="str">
        <f>'1. CUTTING DOCKET'!$F$63</f>
        <v>OATLMEAL - BC0279</v>
      </c>
      <c r="E17" s="148" t="e">
        <f>'1. CUTTING DOCKET'!#REF!</f>
        <v>#REF!</v>
      </c>
    </row>
    <row r="18" spans="1:5" s="77" customFormat="1" ht="115.5" customHeight="1">
      <c r="A18" s="145" t="s">
        <v>80</v>
      </c>
      <c r="B18" s="143" t="str">
        <f>'1. CUTTING DOCKET'!$G$61</f>
        <v>WH1672</v>
      </c>
      <c r="C18" s="143" t="str">
        <f>'1. CUTTING DOCKET'!$G$62</f>
        <v>GY6995</v>
      </c>
      <c r="D18" s="143" t="str">
        <f>'1. CUTTING DOCKET'!$G$63</f>
        <v>BE7499</v>
      </c>
      <c r="E18" s="143" t="e">
        <f>'1. CUTTING DOCKET'!#REF!</f>
        <v>#REF!</v>
      </c>
    </row>
    <row r="19" spans="1:5" s="77" customFormat="1" ht="90" customHeight="1">
      <c r="A19" s="144" t="str">
        <f>'1. CUTTING DOCKET'!B64</f>
        <v>NHÃN CHÍNH CHO ÁO</v>
      </c>
      <c r="B19" s="599" t="str">
        <f>'1. CUTTING DOCKET'!F64</f>
        <v>NỀN TRẮNG CHỮ ĐEN</v>
      </c>
      <c r="C19" s="599"/>
      <c r="D19" s="599"/>
      <c r="E19" s="599"/>
    </row>
    <row r="20" spans="1:5" s="77" customFormat="1" ht="409.6" customHeight="1">
      <c r="A20" s="354" t="s">
        <v>784</v>
      </c>
      <c r="B20" s="600"/>
      <c r="C20" s="600"/>
      <c r="D20" s="600"/>
      <c r="E20" s="600"/>
    </row>
    <row r="21" spans="1:5" s="77" customFormat="1" ht="79.5" customHeight="1">
      <c r="A21" s="144" t="str">
        <f>'1. CUTTING DOCKET'!B67</f>
        <v>NHÃN SIZE CHO ÁO</v>
      </c>
      <c r="B21" s="599" t="str">
        <f>'1. CUTTING DOCKET'!F67</f>
        <v>NỀN TRẮNG CHỮ ĐEN</v>
      </c>
      <c r="C21" s="599"/>
      <c r="D21" s="599"/>
      <c r="E21" s="599"/>
    </row>
    <row r="22" spans="1:5" s="77" customFormat="1" ht="346.5" customHeight="1">
      <c r="A22" s="354" t="s">
        <v>777</v>
      </c>
      <c r="B22" s="601"/>
      <c r="C22" s="601"/>
      <c r="D22" s="601"/>
      <c r="E22" s="602"/>
    </row>
    <row r="23" spans="1:5" s="77" customFormat="1" ht="124.5" customHeight="1">
      <c r="A23" s="144" t="str">
        <f>'1. CUTTING DOCKET'!B70</f>
        <v>NHÃN COUNTRY OF ORIGIN- made in vietnam</v>
      </c>
      <c r="B23" s="599" t="str">
        <f>'1. CUTTING DOCKET'!F70</f>
        <v>NỀN TRẮNG CHỮ ĐEN</v>
      </c>
      <c r="C23" s="599"/>
      <c r="D23" s="599"/>
      <c r="E23" s="599"/>
    </row>
    <row r="24" spans="1:5" s="77" customFormat="1" ht="346.5" customHeight="1">
      <c r="A24" s="149" t="s">
        <v>778</v>
      </c>
      <c r="B24" s="601"/>
      <c r="C24" s="601"/>
      <c r="D24" s="601"/>
      <c r="E24" s="602"/>
    </row>
    <row r="25" spans="1:5" s="77" customFormat="1" ht="131.25" customHeight="1">
      <c r="A25" s="144" t="str">
        <f>'1. CUTTING DOCKET'!B73</f>
        <v>NHÃN THÀNH PHẦN 100% COTTON 1 LÁ</v>
      </c>
      <c r="B25" s="599" t="str">
        <f>'1. CUTTING DOCKET'!F73</f>
        <v>NỀN TRẮNG CHỮ ĐEN</v>
      </c>
      <c r="C25" s="599"/>
      <c r="D25" s="599"/>
      <c r="E25" s="599"/>
    </row>
    <row r="26" spans="1:5" s="77" customFormat="1" ht="362.25" customHeight="1">
      <c r="A26" s="149" t="s">
        <v>785</v>
      </c>
      <c r="B26" s="604" t="s">
        <v>766</v>
      </c>
      <c r="C26" s="605"/>
      <c r="D26" s="605"/>
      <c r="E26" s="182"/>
    </row>
    <row r="27" spans="1:5" s="77" customFormat="1" ht="160.5" customHeight="1">
      <c r="A27" s="144" t="str">
        <f>'1. CUTTING DOCKET'!B78</f>
        <v>STICKER POLY BAG + 2 MẶT THÙNG CARTON 
6.5CM W x 2.5CM H</v>
      </c>
      <c r="B27" s="595" t="str">
        <f>'1. CUTTING DOCKET'!F78</f>
        <v>NỀN TRẮNG CHỮ ĐEN</v>
      </c>
      <c r="C27" s="596"/>
      <c r="D27" s="596"/>
      <c r="E27" s="597"/>
    </row>
    <row r="28" spans="1:5" s="77" customFormat="1" ht="409.6" customHeight="1">
      <c r="A28" s="149" t="s">
        <v>756</v>
      </c>
      <c r="B28" s="594" t="s">
        <v>180</v>
      </c>
      <c r="C28" s="594"/>
      <c r="D28" s="594"/>
      <c r="E28" s="594"/>
    </row>
    <row r="29" spans="1:5" s="77" customFormat="1" ht="273" customHeight="1">
      <c r="A29" s="144" t="str">
        <f>'1. CUTTING DOCKET'!B81</f>
        <v>POLYBAG REGULAR (XXS-M) BAO NHỎ 343MM x 406MM
POLYBAG LARGE (L-XXL) BAO LỚN 400MMx 500MM</v>
      </c>
      <c r="B29" s="595" t="str">
        <f>'1. CUTTING DOCKET'!F81</f>
        <v>CLEAR</v>
      </c>
      <c r="C29" s="596"/>
      <c r="D29" s="596"/>
      <c r="E29" s="597"/>
    </row>
    <row r="30" spans="1:5" s="77" customFormat="1" ht="273" customHeight="1">
      <c r="A30" s="145" t="s">
        <v>759</v>
      </c>
      <c r="B30" s="593"/>
      <c r="C30" s="593"/>
      <c r="D30" s="593"/>
      <c r="E30" s="593"/>
    </row>
    <row r="31" spans="1:5" s="77" customFormat="1" ht="95.25" customHeight="1">
      <c r="A31" s="144" t="s">
        <v>761</v>
      </c>
      <c r="B31" s="595" t="str">
        <f>'1. CUTTING DOCKET'!F84</f>
        <v>NATURAL</v>
      </c>
      <c r="C31" s="596"/>
      <c r="D31" s="596"/>
      <c r="E31" s="597"/>
    </row>
    <row r="32" spans="1:5" s="77" customFormat="1" ht="324.75" customHeight="1">
      <c r="A32" s="145" t="s">
        <v>760</v>
      </c>
      <c r="B32" s="608"/>
      <c r="C32" s="609"/>
      <c r="D32" s="610"/>
      <c r="E32" s="336"/>
    </row>
    <row r="33" spans="1:17" s="77" customFormat="1" ht="119.5" customHeight="1">
      <c r="A33" s="144" t="str">
        <f>'1. CUTTING DOCKET'!B87</f>
        <v>STICKER DÁN THÙNG</v>
      </c>
      <c r="B33" s="606" t="str">
        <f>'1. CUTTING DOCKET'!F87</f>
        <v>NỀN TRẮNG CHỮ ĐEN</v>
      </c>
      <c r="C33" s="607"/>
      <c r="D33" s="607"/>
      <c r="E33" s="337"/>
    </row>
    <row r="34" spans="1:17" s="77" customFormat="1" ht="287.25" customHeight="1">
      <c r="A34" s="145" t="s">
        <v>762</v>
      </c>
      <c r="B34" s="336"/>
      <c r="C34" s="336"/>
      <c r="D34" s="336"/>
      <c r="E34" s="336"/>
    </row>
    <row r="35" spans="1:17" s="77" customFormat="1" ht="119.5" customHeight="1">
      <c r="A35" s="144" t="str">
        <f>'1. CUTTING DOCKET'!B90</f>
        <v>STICKER DÁN THÙNG MÀU CAM</v>
      </c>
      <c r="B35" s="606" t="str">
        <f>'1. CUTTING DOCKET'!F90</f>
        <v>ORANGE</v>
      </c>
      <c r="C35" s="607"/>
      <c r="D35" s="607"/>
      <c r="E35" s="337"/>
    </row>
    <row r="36" spans="1:17" s="77" customFormat="1" ht="287.25" customHeight="1">
      <c r="A36" s="145" t="s">
        <v>763</v>
      </c>
      <c r="B36" s="336"/>
      <c r="C36" s="336"/>
      <c r="D36" s="336"/>
      <c r="E36" s="336"/>
    </row>
    <row r="37" spans="1:17" s="77" customFormat="1" ht="71.5" customHeight="1">
      <c r="A37" s="144" t="str">
        <f>'1. CUTTING DOCKET'!B96</f>
        <v>BIG POLY BAG 100X120</v>
      </c>
      <c r="B37" s="606" t="str">
        <f>'1. CUTTING DOCKET'!F96</f>
        <v>CLEAR</v>
      </c>
      <c r="C37" s="607"/>
      <c r="D37" s="607"/>
      <c r="E37" s="337"/>
      <c r="H37" s="77">
        <v>1.49</v>
      </c>
    </row>
    <row r="38" spans="1:17" s="77" customFormat="1" ht="87" customHeight="1">
      <c r="A38" s="145" t="s">
        <v>764</v>
      </c>
      <c r="B38" s="336"/>
      <c r="C38" s="336"/>
      <c r="D38" s="336"/>
      <c r="E38" s="336"/>
    </row>
    <row r="40" spans="1:17" ht="409.5">
      <c r="E40" s="80" t="s">
        <v>724</v>
      </c>
      <c r="J40" s="80">
        <f>I40*8.3%+(I40/50)*0.5</f>
        <v>0</v>
      </c>
      <c r="M40" s="340">
        <f>ROUND(I40+J40,0)</f>
        <v>0</v>
      </c>
      <c r="N40" s="342" t="s">
        <v>736</v>
      </c>
    </row>
    <row r="41" spans="1:17">
      <c r="B41" s="80" t="s">
        <v>735</v>
      </c>
      <c r="E41" s="80" t="s">
        <v>724</v>
      </c>
      <c r="H41" s="80">
        <v>0.25</v>
      </c>
      <c r="M41" s="340">
        <f>ROUND(I41+J41,0)</f>
        <v>0</v>
      </c>
      <c r="N41" s="335" t="s">
        <v>737</v>
      </c>
      <c r="O41" s="335"/>
      <c r="P41" s="335"/>
      <c r="Q41" s="335"/>
    </row>
    <row r="42" spans="1:17">
      <c r="I42" s="80" t="b">
        <v>1</v>
      </c>
    </row>
    <row r="43" spans="1:17" ht="35">
      <c r="B43" s="606" t="s">
        <v>771</v>
      </c>
      <c r="C43" s="607"/>
      <c r="D43" s="607"/>
      <c r="E43" s="337"/>
      <c r="F43" s="77"/>
      <c r="G43" s="77"/>
      <c r="H43" s="77">
        <v>0.28000000000000003</v>
      </c>
      <c r="I43" s="80" t="b">
        <v>1</v>
      </c>
    </row>
    <row r="44" spans="1:17">
      <c r="E44" s="80" t="s">
        <v>724</v>
      </c>
      <c r="M44" s="340">
        <f>ROUND(I44+J44,0)</f>
        <v>0</v>
      </c>
    </row>
    <row r="45" spans="1:17">
      <c r="E45" s="80" t="s">
        <v>724</v>
      </c>
      <c r="M45" s="340">
        <f>ROUND(I45+J45,0)</f>
        <v>0</v>
      </c>
    </row>
    <row r="46" spans="1:17">
      <c r="A46" s="79" t="str">
        <f>UPPER(D21)</f>
        <v/>
      </c>
    </row>
    <row r="47" spans="1:17" ht="35">
      <c r="B47" s="606" t="s">
        <v>771</v>
      </c>
      <c r="C47" s="607"/>
      <c r="D47" s="607"/>
      <c r="E47" s="337"/>
      <c r="F47" s="77"/>
      <c r="G47" s="77"/>
      <c r="H47" s="77">
        <v>0.28000000000000003</v>
      </c>
    </row>
    <row r="48" spans="1:17" ht="156" customHeight="1">
      <c r="E48" s="80" t="e">
        <f>#REF!</f>
        <v>#REF!</v>
      </c>
      <c r="H48" s="335">
        <v>0.99</v>
      </c>
      <c r="N48" s="80" t="s">
        <v>767</v>
      </c>
    </row>
    <row r="49" spans="1:17">
      <c r="A49" s="79" t="str">
        <f>UPPER(D27)</f>
        <v/>
      </c>
    </row>
    <row r="50" spans="1:17" ht="156" customHeight="1">
      <c r="E50" s="80" t="e">
        <f>#REF!</f>
        <v>#REF!</v>
      </c>
      <c r="G50" s="80">
        <f>$Q$27</f>
        <v>0</v>
      </c>
      <c r="H50" s="335">
        <v>0.99</v>
      </c>
    </row>
    <row r="51" spans="1:17">
      <c r="A51" s="79" t="str">
        <f>UPPER(D31)</f>
        <v/>
      </c>
    </row>
    <row r="52" spans="1:17" ht="156" customHeight="1">
      <c r="E52" s="80" t="e">
        <f>#REF!</f>
        <v>#REF!</v>
      </c>
      <c r="H52" s="335">
        <v>0.99</v>
      </c>
    </row>
    <row r="53" spans="1:17">
      <c r="A53" s="79" t="e">
        <f>UPPER(#REF!)</f>
        <v>#REF!</v>
      </c>
    </row>
    <row r="54" spans="1:17" ht="156" customHeight="1">
      <c r="E54" s="80" t="e">
        <f>#REF!</f>
        <v>#REF!</v>
      </c>
      <c r="G54" s="80" t="e">
        <f>#REF!</f>
        <v>#REF!</v>
      </c>
      <c r="H54" s="335">
        <v>0.99</v>
      </c>
    </row>
    <row r="57" spans="1:17">
      <c r="G57" s="80" t="s">
        <v>724</v>
      </c>
      <c r="L57" s="335"/>
      <c r="P57" s="79" t="s">
        <v>725</v>
      </c>
      <c r="Q57" s="79"/>
    </row>
    <row r="58" spans="1:17">
      <c r="G58" s="80" t="s">
        <v>724</v>
      </c>
      <c r="L58" s="335"/>
      <c r="P58" s="79"/>
      <c r="Q58" s="79"/>
    </row>
    <row r="59" spans="1:17">
      <c r="G59" s="80" t="s">
        <v>724</v>
      </c>
      <c r="L59" s="335"/>
      <c r="P59" s="79"/>
      <c r="Q59" s="79"/>
    </row>
    <row r="60" spans="1:17">
      <c r="G60" s="80" t="s">
        <v>724</v>
      </c>
      <c r="L60" s="335"/>
      <c r="P60" s="79"/>
      <c r="Q60" s="79"/>
    </row>
    <row r="61" spans="1:17">
      <c r="B61" s="80" t="s">
        <v>726</v>
      </c>
    </row>
    <row r="62" spans="1:17">
      <c r="B62" s="80" t="s">
        <v>726</v>
      </c>
    </row>
    <row r="63" spans="1:17">
      <c r="B63" s="80" t="s">
        <v>726</v>
      </c>
    </row>
    <row r="64" spans="1:17">
      <c r="B64" s="80" t="s">
        <v>726</v>
      </c>
    </row>
  </sheetData>
  <mergeCells count="22">
    <mergeCell ref="B43:D43"/>
    <mergeCell ref="B47:D47"/>
    <mergeCell ref="B37:D37"/>
    <mergeCell ref="B31:E31"/>
    <mergeCell ref="B32:D32"/>
    <mergeCell ref="B33:D33"/>
    <mergeCell ref="B35:D35"/>
    <mergeCell ref="B30:E30"/>
    <mergeCell ref="B28:E28"/>
    <mergeCell ref="B27:E27"/>
    <mergeCell ref="B29:E29"/>
    <mergeCell ref="B7:E7"/>
    <mergeCell ref="B19:E19"/>
    <mergeCell ref="B20:E20"/>
    <mergeCell ref="B21:E21"/>
    <mergeCell ref="B22:E22"/>
    <mergeCell ref="B11:D11"/>
    <mergeCell ref="B12:D12"/>
    <mergeCell ref="B23:E23"/>
    <mergeCell ref="B24:E24"/>
    <mergeCell ref="B25:E25"/>
    <mergeCell ref="B26:D26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4" max="4" man="1"/>
    <brk id="22" max="4" man="1"/>
    <brk id="28" max="4" man="1"/>
    <brk id="34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94653-80AE-45C2-846B-5614EE23D73E}">
  <dimension ref="A1:U35"/>
  <sheetViews>
    <sheetView view="pageBreakPreview" zoomScale="70" zoomScaleNormal="85" zoomScaleSheetLayoutView="70" zoomScalePageLayoutView="55" workbookViewId="0">
      <selection activeCell="J7" sqref="J7"/>
    </sheetView>
  </sheetViews>
  <sheetFormatPr defaultColWidth="8.81640625" defaultRowHeight="15.5"/>
  <cols>
    <col min="1" max="1" width="9.54296875" style="365" customWidth="1"/>
    <col min="2" max="2" width="8.7265625" style="419" customWidth="1"/>
    <col min="3" max="3" width="8.453125" style="419" customWidth="1"/>
    <col min="4" max="4" width="6.453125" style="419" customWidth="1"/>
    <col min="5" max="5" width="5.453125" style="419" customWidth="1"/>
    <col min="6" max="6" width="14.1796875" style="419" customWidth="1"/>
    <col min="7" max="7" width="29.7265625" style="419" customWidth="1"/>
    <col min="8" max="8" width="5.453125" style="365" bestFit="1" customWidth="1"/>
    <col min="9" max="9" width="10.7265625" style="365" customWidth="1"/>
    <col min="10" max="12" width="10.81640625" style="365" customWidth="1"/>
    <col min="13" max="13" width="12.7265625" style="365" customWidth="1"/>
    <col min="14" max="15" width="9.1796875" style="365" customWidth="1"/>
    <col min="16" max="16" width="9.1796875" style="379" customWidth="1"/>
    <col min="17" max="17" width="8.81640625" style="365"/>
    <col min="18" max="18" width="11.1796875" style="365" customWidth="1"/>
    <col min="19" max="16384" width="8.81640625" style="365"/>
  </cols>
  <sheetData>
    <row r="1" spans="1:21">
      <c r="A1" s="630"/>
      <c r="B1" s="631"/>
      <c r="C1" s="632"/>
      <c r="D1" s="360"/>
      <c r="E1" s="361"/>
      <c r="F1" s="361"/>
      <c r="G1" s="362" t="s">
        <v>786</v>
      </c>
      <c r="H1" s="633" t="s">
        <v>787</v>
      </c>
      <c r="I1" s="634"/>
      <c r="J1" s="635"/>
      <c r="K1" s="636" t="s">
        <v>788</v>
      </c>
      <c r="L1" s="636"/>
      <c r="M1" s="363"/>
      <c r="N1" s="637" t="s">
        <v>789</v>
      </c>
      <c r="O1" s="637"/>
      <c r="P1" s="364"/>
    </row>
    <row r="2" spans="1:21" ht="42.75" customHeight="1">
      <c r="A2" s="638"/>
      <c r="B2" s="639"/>
      <c r="C2" s="639"/>
      <c r="D2" s="360"/>
      <c r="E2" s="361"/>
      <c r="F2" s="361"/>
      <c r="G2" s="362" t="s">
        <v>790</v>
      </c>
      <c r="H2" s="616" t="s">
        <v>783</v>
      </c>
      <c r="I2" s="617"/>
      <c r="J2" s="618"/>
      <c r="K2" s="640" t="s">
        <v>791</v>
      </c>
      <c r="L2" s="640"/>
      <c r="M2" s="367"/>
      <c r="N2" s="641"/>
      <c r="O2" s="641"/>
      <c r="P2" s="368"/>
    </row>
    <row r="3" spans="1:21">
      <c r="A3" s="619"/>
      <c r="B3" s="620"/>
      <c r="C3" s="621"/>
      <c r="D3" s="369"/>
      <c r="E3" s="370"/>
      <c r="F3" s="370"/>
      <c r="G3" s="362" t="s">
        <v>792</v>
      </c>
      <c r="H3" s="622"/>
      <c r="I3" s="623"/>
      <c r="J3" s="624"/>
      <c r="K3" s="625" t="s">
        <v>793</v>
      </c>
      <c r="L3" s="625"/>
      <c r="M3" s="371"/>
      <c r="N3" s="626"/>
      <c r="O3" s="626"/>
      <c r="P3" s="368"/>
    </row>
    <row r="4" spans="1:21">
      <c r="A4" s="372"/>
      <c r="B4" s="373"/>
      <c r="C4" s="374"/>
      <c r="D4" s="374"/>
      <c r="E4" s="375"/>
      <c r="F4" s="376"/>
      <c r="G4" s="376"/>
      <c r="H4" s="377"/>
      <c r="I4" s="377"/>
      <c r="J4" s="377"/>
      <c r="K4" s="378"/>
      <c r="L4" s="378"/>
      <c r="M4" s="378"/>
      <c r="N4" s="378"/>
      <c r="O4" s="377"/>
    </row>
    <row r="5" spans="1:21" s="387" customFormat="1" ht="23.5" customHeight="1">
      <c r="A5" s="380" t="s">
        <v>794</v>
      </c>
      <c r="B5" s="627" t="s">
        <v>257</v>
      </c>
      <c r="C5" s="627"/>
      <c r="D5" s="627"/>
      <c r="E5" s="627"/>
      <c r="F5" s="627"/>
      <c r="G5" s="381"/>
      <c r="H5" s="382" t="s">
        <v>795</v>
      </c>
      <c r="I5" s="382" t="s">
        <v>723</v>
      </c>
      <c r="J5" s="383" t="s">
        <v>117</v>
      </c>
      <c r="K5" s="384" t="s">
        <v>35</v>
      </c>
      <c r="L5" s="383" t="s">
        <v>36</v>
      </c>
      <c r="M5" s="383" t="s">
        <v>37</v>
      </c>
      <c r="N5" s="383" t="s">
        <v>38</v>
      </c>
      <c r="O5" s="385" t="s">
        <v>796</v>
      </c>
      <c r="P5" s="386" t="s">
        <v>797</v>
      </c>
    </row>
    <row r="6" spans="1:21" ht="24" customHeight="1">
      <c r="A6" s="388">
        <v>1</v>
      </c>
      <c r="B6" s="628" t="s">
        <v>798</v>
      </c>
      <c r="C6" s="628"/>
      <c r="D6" s="628"/>
      <c r="E6" s="628"/>
      <c r="F6" s="629"/>
      <c r="G6" s="389" t="s">
        <v>799</v>
      </c>
      <c r="H6" s="390" t="s">
        <v>800</v>
      </c>
      <c r="I6" s="391" t="s">
        <v>801</v>
      </c>
      <c r="J6" s="391" t="s">
        <v>802</v>
      </c>
      <c r="K6" s="392" t="s">
        <v>803</v>
      </c>
      <c r="L6" s="393" t="s">
        <v>804</v>
      </c>
      <c r="M6" s="393" t="s">
        <v>805</v>
      </c>
      <c r="N6" s="393" t="s">
        <v>806</v>
      </c>
      <c r="O6" s="393" t="s">
        <v>807</v>
      </c>
      <c r="P6" s="394">
        <v>1</v>
      </c>
    </row>
    <row r="7" spans="1:21" ht="34.5" customHeight="1">
      <c r="A7" s="395">
        <v>2</v>
      </c>
      <c r="B7" s="396" t="s">
        <v>808</v>
      </c>
      <c r="C7" s="361"/>
      <c r="D7" s="361"/>
      <c r="E7" s="397"/>
      <c r="F7" s="397"/>
      <c r="G7" s="398" t="s">
        <v>809</v>
      </c>
      <c r="H7" s="390" t="s">
        <v>800</v>
      </c>
      <c r="I7" s="391" t="s">
        <v>810</v>
      </c>
      <c r="J7" s="391" t="s">
        <v>811</v>
      </c>
      <c r="K7" s="399">
        <v>17</v>
      </c>
      <c r="L7" s="393" t="s">
        <v>812</v>
      </c>
      <c r="M7" s="393" t="s">
        <v>813</v>
      </c>
      <c r="N7" s="393" t="s">
        <v>814</v>
      </c>
      <c r="O7" s="393">
        <v>20</v>
      </c>
      <c r="P7" s="394">
        <v>0.75</v>
      </c>
      <c r="Q7" s="614"/>
      <c r="R7" s="615"/>
      <c r="S7" s="401"/>
    </row>
    <row r="8" spans="1:21" ht="34.5" customHeight="1">
      <c r="A8" s="388">
        <v>3</v>
      </c>
      <c r="B8" s="402" t="s">
        <v>815</v>
      </c>
      <c r="C8" s="403"/>
      <c r="D8" s="403"/>
      <c r="E8" s="403"/>
      <c r="F8" s="366" t="s">
        <v>816</v>
      </c>
      <c r="G8" s="398" t="s">
        <v>817</v>
      </c>
      <c r="H8" s="390" t="s">
        <v>800</v>
      </c>
      <c r="I8" s="391">
        <v>6</v>
      </c>
      <c r="J8" s="391" t="s">
        <v>818</v>
      </c>
      <c r="K8" s="399">
        <v>7</v>
      </c>
      <c r="L8" s="393" t="s">
        <v>819</v>
      </c>
      <c r="M8" s="393">
        <v>8</v>
      </c>
      <c r="N8" s="393" t="s">
        <v>820</v>
      </c>
      <c r="O8" s="393">
        <v>9</v>
      </c>
      <c r="P8" s="404">
        <v>0.5</v>
      </c>
      <c r="Q8" s="400"/>
      <c r="R8" s="400"/>
      <c r="S8" s="401"/>
    </row>
    <row r="9" spans="1:21" ht="34.5" customHeight="1">
      <c r="A9" s="388">
        <v>4</v>
      </c>
      <c r="B9" s="402" t="s">
        <v>821</v>
      </c>
      <c r="C9" s="403"/>
      <c r="D9" s="403"/>
      <c r="E9" s="403"/>
      <c r="F9" s="366" t="s">
        <v>822</v>
      </c>
      <c r="G9" s="398" t="s">
        <v>823</v>
      </c>
      <c r="H9" s="405" t="s">
        <v>800</v>
      </c>
      <c r="I9" s="391">
        <v>24</v>
      </c>
      <c r="J9" s="391">
        <v>25</v>
      </c>
      <c r="K9" s="399">
        <v>26</v>
      </c>
      <c r="L9" s="393">
        <v>27</v>
      </c>
      <c r="M9" s="393">
        <v>28</v>
      </c>
      <c r="N9" s="393">
        <v>29</v>
      </c>
      <c r="O9" s="393">
        <v>30</v>
      </c>
      <c r="P9" s="394">
        <v>1</v>
      </c>
      <c r="Q9" s="400"/>
      <c r="R9" s="400"/>
      <c r="S9" s="401"/>
    </row>
    <row r="10" spans="1:21" ht="34.5" customHeight="1">
      <c r="A10" s="395">
        <v>5</v>
      </c>
      <c r="B10" s="616" t="s">
        <v>824</v>
      </c>
      <c r="C10" s="617"/>
      <c r="D10" s="617"/>
      <c r="E10" s="617"/>
      <c r="F10" s="618"/>
      <c r="G10" s="398" t="s">
        <v>825</v>
      </c>
      <c r="H10" s="405" t="s">
        <v>800</v>
      </c>
      <c r="I10" s="391" t="s">
        <v>826</v>
      </c>
      <c r="J10" s="391" t="s">
        <v>827</v>
      </c>
      <c r="K10" s="399">
        <v>30</v>
      </c>
      <c r="L10" s="393" t="s">
        <v>828</v>
      </c>
      <c r="M10" s="393" t="s">
        <v>829</v>
      </c>
      <c r="N10" s="393" t="s">
        <v>830</v>
      </c>
      <c r="O10" s="393">
        <v>33</v>
      </c>
      <c r="P10" s="394">
        <v>0.75</v>
      </c>
      <c r="Q10" s="400"/>
      <c r="R10" s="400"/>
      <c r="S10" s="401"/>
    </row>
    <row r="11" spans="1:21" ht="34.5" customHeight="1">
      <c r="A11" s="388">
        <v>6</v>
      </c>
      <c r="B11" s="616" t="s">
        <v>831</v>
      </c>
      <c r="C11" s="617"/>
      <c r="D11" s="617"/>
      <c r="E11" s="617"/>
      <c r="F11" s="618"/>
      <c r="G11" s="398" t="s">
        <v>832</v>
      </c>
      <c r="H11" s="390" t="s">
        <v>800</v>
      </c>
      <c r="I11" s="391">
        <v>28</v>
      </c>
      <c r="J11" s="391" t="s">
        <v>833</v>
      </c>
      <c r="K11" s="399" t="s">
        <v>834</v>
      </c>
      <c r="L11" s="393" t="s">
        <v>835</v>
      </c>
      <c r="M11" s="393">
        <v>31</v>
      </c>
      <c r="N11" s="393" t="s">
        <v>836</v>
      </c>
      <c r="O11" s="393" t="s">
        <v>837</v>
      </c>
      <c r="P11" s="394">
        <v>0.75</v>
      </c>
      <c r="Q11" s="400"/>
      <c r="R11" s="400"/>
      <c r="S11" s="401"/>
    </row>
    <row r="12" spans="1:21" ht="31">
      <c r="A12" s="395">
        <v>7</v>
      </c>
      <c r="B12" s="611" t="s">
        <v>838</v>
      </c>
      <c r="C12" s="611"/>
      <c r="D12" s="611"/>
      <c r="E12" s="611"/>
      <c r="F12" s="611"/>
      <c r="G12" s="406" t="s">
        <v>839</v>
      </c>
      <c r="H12" s="390" t="s">
        <v>800</v>
      </c>
      <c r="I12" s="391">
        <f>J12-P12</f>
        <v>22</v>
      </c>
      <c r="J12" s="391">
        <f>K12-P12</f>
        <v>23</v>
      </c>
      <c r="K12" s="399">
        <f>L12-P12</f>
        <v>24</v>
      </c>
      <c r="L12" s="392">
        <v>25</v>
      </c>
      <c r="M12" s="393">
        <f>L12+P12</f>
        <v>26</v>
      </c>
      <c r="N12" s="393">
        <f>M12+P12</f>
        <v>27</v>
      </c>
      <c r="O12" s="393">
        <v>28</v>
      </c>
      <c r="P12" s="394">
        <v>1</v>
      </c>
      <c r="Q12" s="407" t="s">
        <v>840</v>
      </c>
      <c r="R12" s="407"/>
      <c r="S12" s="407"/>
      <c r="T12" s="407"/>
      <c r="U12" s="407"/>
    </row>
    <row r="13" spans="1:21" ht="38.25" customHeight="1">
      <c r="A13" s="388">
        <v>8</v>
      </c>
      <c r="B13" s="611" t="s">
        <v>841</v>
      </c>
      <c r="C13" s="611"/>
      <c r="D13" s="611"/>
      <c r="E13" s="611"/>
      <c r="F13" s="611"/>
      <c r="G13" s="406" t="s">
        <v>842</v>
      </c>
      <c r="H13" s="390" t="s">
        <v>800</v>
      </c>
      <c r="I13" s="391">
        <f>J13-P13</f>
        <v>21</v>
      </c>
      <c r="J13" s="391">
        <f>K13-P13</f>
        <v>22</v>
      </c>
      <c r="K13" s="399">
        <f>L13-P13</f>
        <v>23</v>
      </c>
      <c r="L13" s="392">
        <v>24</v>
      </c>
      <c r="M13" s="393">
        <f>L13+P13</f>
        <v>25</v>
      </c>
      <c r="N13" s="393">
        <f>M13+P13</f>
        <v>26</v>
      </c>
      <c r="O13" s="393">
        <v>27</v>
      </c>
      <c r="P13" s="394">
        <v>1</v>
      </c>
      <c r="Q13" s="407" t="s">
        <v>843</v>
      </c>
      <c r="R13" s="407"/>
      <c r="S13" s="407"/>
      <c r="T13" s="407"/>
      <c r="U13" s="407"/>
    </row>
    <row r="14" spans="1:21" ht="23.15" customHeight="1">
      <c r="A14" s="388">
        <v>9</v>
      </c>
      <c r="B14" s="616" t="s">
        <v>844</v>
      </c>
      <c r="C14" s="617"/>
      <c r="D14" s="617"/>
      <c r="E14" s="617"/>
      <c r="F14" s="618"/>
      <c r="G14" s="406" t="s">
        <v>845</v>
      </c>
      <c r="H14" s="390" t="s">
        <v>846</v>
      </c>
      <c r="I14" s="391">
        <v>6</v>
      </c>
      <c r="J14" s="391">
        <v>6</v>
      </c>
      <c r="K14" s="399">
        <v>6</v>
      </c>
      <c r="L14" s="393">
        <v>6</v>
      </c>
      <c r="M14" s="393">
        <v>6</v>
      </c>
      <c r="N14" s="393">
        <v>6</v>
      </c>
      <c r="O14" s="393">
        <v>6</v>
      </c>
      <c r="P14" s="394">
        <v>0</v>
      </c>
    </row>
    <row r="15" spans="1:21" ht="31">
      <c r="A15" s="395">
        <v>10</v>
      </c>
      <c r="B15" s="611" t="s">
        <v>847</v>
      </c>
      <c r="C15" s="611"/>
      <c r="D15" s="611"/>
      <c r="E15" s="611"/>
      <c r="F15" s="611"/>
      <c r="G15" s="406" t="s">
        <v>848</v>
      </c>
      <c r="H15" s="405" t="s">
        <v>800</v>
      </c>
      <c r="I15" s="391" t="s">
        <v>849</v>
      </c>
      <c r="J15" s="391">
        <v>32</v>
      </c>
      <c r="K15" s="392" t="s">
        <v>850</v>
      </c>
      <c r="L15" s="393" t="s">
        <v>851</v>
      </c>
      <c r="M15" s="393" t="s">
        <v>852</v>
      </c>
      <c r="N15" s="393">
        <v>35</v>
      </c>
      <c r="O15" s="393" t="s">
        <v>853</v>
      </c>
      <c r="P15" s="394">
        <v>0.75</v>
      </c>
    </row>
    <row r="16" spans="1:21" ht="33" customHeight="1">
      <c r="A16" s="388">
        <v>11</v>
      </c>
      <c r="B16" s="611" t="s">
        <v>205</v>
      </c>
      <c r="C16" s="611"/>
      <c r="D16" s="611"/>
      <c r="E16" s="611"/>
      <c r="F16" s="611"/>
      <c r="G16" s="408" t="s">
        <v>854</v>
      </c>
      <c r="H16" s="390" t="s">
        <v>846</v>
      </c>
      <c r="I16" s="391">
        <v>11</v>
      </c>
      <c r="J16" s="391" t="s">
        <v>855</v>
      </c>
      <c r="K16" s="399">
        <v>12</v>
      </c>
      <c r="L16" s="393" t="s">
        <v>856</v>
      </c>
      <c r="M16" s="393">
        <v>13</v>
      </c>
      <c r="N16" s="393" t="s">
        <v>857</v>
      </c>
      <c r="O16" s="393">
        <v>14</v>
      </c>
      <c r="P16" s="404">
        <v>0.5</v>
      </c>
    </row>
    <row r="17" spans="1:16" ht="27" customHeight="1">
      <c r="A17" s="395">
        <v>12</v>
      </c>
      <c r="B17" s="611" t="s">
        <v>858</v>
      </c>
      <c r="C17" s="611"/>
      <c r="D17" s="611"/>
      <c r="E17" s="611"/>
      <c r="F17" s="611"/>
      <c r="G17" s="406" t="s">
        <v>859</v>
      </c>
      <c r="H17" s="390" t="s">
        <v>846</v>
      </c>
      <c r="I17" s="391" t="s">
        <v>860</v>
      </c>
      <c r="J17" s="391">
        <v>11</v>
      </c>
      <c r="K17" s="399" t="s">
        <v>855</v>
      </c>
      <c r="L17" s="393">
        <v>12</v>
      </c>
      <c r="M17" s="393" t="s">
        <v>861</v>
      </c>
      <c r="N17" s="393">
        <v>13</v>
      </c>
      <c r="O17" s="393" t="s">
        <v>857</v>
      </c>
      <c r="P17" s="394">
        <v>0.5</v>
      </c>
    </row>
    <row r="18" spans="1:16" ht="33.75" customHeight="1">
      <c r="A18" s="388">
        <v>13</v>
      </c>
      <c r="B18" s="611" t="s">
        <v>862</v>
      </c>
      <c r="C18" s="611"/>
      <c r="D18" s="611"/>
      <c r="E18" s="611"/>
      <c r="F18" s="611"/>
      <c r="G18" s="406" t="s">
        <v>863</v>
      </c>
      <c r="H18" s="390" t="s">
        <v>800</v>
      </c>
      <c r="I18" s="391" t="s">
        <v>864</v>
      </c>
      <c r="J18" s="391" t="s">
        <v>865</v>
      </c>
      <c r="K18" s="399" t="s">
        <v>820</v>
      </c>
      <c r="L18" s="393" t="s">
        <v>866</v>
      </c>
      <c r="M18" s="393" t="s">
        <v>867</v>
      </c>
      <c r="N18" s="393" t="s">
        <v>868</v>
      </c>
      <c r="O18" s="393">
        <v>10</v>
      </c>
      <c r="P18" s="394">
        <v>0.375</v>
      </c>
    </row>
    <row r="19" spans="1:16" ht="36" customHeight="1">
      <c r="A19" s="388">
        <v>14</v>
      </c>
      <c r="B19" s="611" t="s">
        <v>869</v>
      </c>
      <c r="C19" s="611"/>
      <c r="D19" s="611"/>
      <c r="E19" s="611"/>
      <c r="F19" s="611"/>
      <c r="G19" s="409" t="s">
        <v>870</v>
      </c>
      <c r="H19" s="405" t="s">
        <v>800</v>
      </c>
      <c r="I19" s="391">
        <v>18</v>
      </c>
      <c r="J19" s="391" t="s">
        <v>813</v>
      </c>
      <c r="K19" s="399">
        <v>19</v>
      </c>
      <c r="L19" s="393" t="s">
        <v>871</v>
      </c>
      <c r="M19" s="393">
        <v>20</v>
      </c>
      <c r="N19" s="393" t="s">
        <v>802</v>
      </c>
      <c r="O19" s="393">
        <v>21</v>
      </c>
      <c r="P19" s="394">
        <v>0.5</v>
      </c>
    </row>
    <row r="20" spans="1:16" ht="31">
      <c r="A20" s="395">
        <v>15</v>
      </c>
      <c r="B20" s="611" t="s">
        <v>872</v>
      </c>
      <c r="C20" s="611"/>
      <c r="D20" s="611"/>
      <c r="E20" s="611"/>
      <c r="F20" s="611"/>
      <c r="G20" s="406" t="s">
        <v>873</v>
      </c>
      <c r="H20" s="390" t="s">
        <v>846</v>
      </c>
      <c r="I20" s="391">
        <v>6</v>
      </c>
      <c r="J20" s="391" t="s">
        <v>874</v>
      </c>
      <c r="K20" s="399" t="s">
        <v>818</v>
      </c>
      <c r="L20" s="393" t="s">
        <v>875</v>
      </c>
      <c r="M20" s="393">
        <v>7</v>
      </c>
      <c r="N20" s="393" t="s">
        <v>876</v>
      </c>
      <c r="O20" s="393" t="s">
        <v>877</v>
      </c>
      <c r="P20" s="394">
        <v>0.25</v>
      </c>
    </row>
    <row r="21" spans="1:16" ht="23.25" customHeight="1">
      <c r="A21" s="388">
        <v>16</v>
      </c>
      <c r="B21" s="611" t="s">
        <v>878</v>
      </c>
      <c r="C21" s="611"/>
      <c r="D21" s="611"/>
      <c r="E21" s="611"/>
      <c r="F21" s="611"/>
      <c r="G21" s="362" t="s">
        <v>879</v>
      </c>
      <c r="H21" s="390" t="s">
        <v>846</v>
      </c>
      <c r="I21" s="391" t="s">
        <v>880</v>
      </c>
      <c r="J21" s="391" t="s">
        <v>881</v>
      </c>
      <c r="K21" s="399" t="s">
        <v>882</v>
      </c>
      <c r="L21" s="393" t="s">
        <v>883</v>
      </c>
      <c r="M21" s="393" t="s">
        <v>884</v>
      </c>
      <c r="N21" s="393" t="s">
        <v>885</v>
      </c>
      <c r="O21" s="393" t="s">
        <v>886</v>
      </c>
      <c r="P21" s="394">
        <v>0.25</v>
      </c>
    </row>
    <row r="22" spans="1:16" s="412" customFormat="1" ht="31">
      <c r="A22" s="395">
        <v>17</v>
      </c>
      <c r="B22" s="612" t="s">
        <v>887</v>
      </c>
      <c r="C22" s="612"/>
      <c r="D22" s="612"/>
      <c r="E22" s="612"/>
      <c r="F22" s="612"/>
      <c r="G22" s="410" t="s">
        <v>888</v>
      </c>
      <c r="H22" s="405" t="s">
        <v>846</v>
      </c>
      <c r="I22" s="391">
        <v>11</v>
      </c>
      <c r="J22" s="391" t="s">
        <v>889</v>
      </c>
      <c r="K22" s="399" t="s">
        <v>855</v>
      </c>
      <c r="L22" s="393" t="s">
        <v>890</v>
      </c>
      <c r="M22" s="393">
        <v>12</v>
      </c>
      <c r="N22" s="393" t="s">
        <v>891</v>
      </c>
      <c r="O22" s="393" t="s">
        <v>861</v>
      </c>
      <c r="P22" s="411">
        <v>0.25</v>
      </c>
    </row>
    <row r="23" spans="1:16" s="412" customFormat="1">
      <c r="A23" s="388">
        <v>18</v>
      </c>
      <c r="B23" s="612" t="s">
        <v>892</v>
      </c>
      <c r="C23" s="612"/>
      <c r="D23" s="612"/>
      <c r="E23" s="612"/>
      <c r="F23" s="612"/>
      <c r="G23" s="410" t="s">
        <v>893</v>
      </c>
      <c r="H23" s="405" t="s">
        <v>846</v>
      </c>
      <c r="I23" s="391">
        <v>3</v>
      </c>
      <c r="J23" s="391" t="s">
        <v>894</v>
      </c>
      <c r="K23" s="413" t="s">
        <v>895</v>
      </c>
      <c r="L23" s="393" t="s">
        <v>896</v>
      </c>
      <c r="M23" s="393">
        <v>4</v>
      </c>
      <c r="N23" s="393" t="s">
        <v>897</v>
      </c>
      <c r="O23" s="393" t="s">
        <v>898</v>
      </c>
      <c r="P23" s="411">
        <v>0.25</v>
      </c>
    </row>
    <row r="24" spans="1:16" s="412" customFormat="1">
      <c r="A24" s="388">
        <v>19</v>
      </c>
      <c r="B24" s="612" t="s">
        <v>899</v>
      </c>
      <c r="C24" s="612"/>
      <c r="D24" s="612"/>
      <c r="E24" s="612"/>
      <c r="F24" s="612"/>
      <c r="G24" s="410" t="s">
        <v>900</v>
      </c>
      <c r="H24" s="414" t="s">
        <v>901</v>
      </c>
      <c r="I24" s="391">
        <v>1</v>
      </c>
      <c r="J24" s="391">
        <v>1</v>
      </c>
      <c r="K24" s="413">
        <v>1</v>
      </c>
      <c r="L24" s="393">
        <v>1</v>
      </c>
      <c r="M24" s="393">
        <v>1</v>
      </c>
      <c r="N24" s="393">
        <v>1</v>
      </c>
      <c r="O24" s="393">
        <v>1</v>
      </c>
      <c r="P24" s="411">
        <v>0</v>
      </c>
    </row>
    <row r="25" spans="1:16">
      <c r="A25" s="395">
        <v>20</v>
      </c>
      <c r="B25" s="611" t="s">
        <v>902</v>
      </c>
      <c r="C25" s="611"/>
      <c r="D25" s="611"/>
      <c r="E25" s="611"/>
      <c r="F25" s="611"/>
      <c r="G25" s="406" t="s">
        <v>903</v>
      </c>
      <c r="H25" s="415" t="s">
        <v>901</v>
      </c>
      <c r="I25" s="391" t="s">
        <v>904</v>
      </c>
      <c r="J25" s="391" t="s">
        <v>904</v>
      </c>
      <c r="K25" s="399" t="s">
        <v>904</v>
      </c>
      <c r="L25" s="393" t="s">
        <v>905</v>
      </c>
      <c r="M25" s="393" t="s">
        <v>904</v>
      </c>
      <c r="N25" s="393" t="s">
        <v>904</v>
      </c>
      <c r="O25" s="393" t="s">
        <v>904</v>
      </c>
      <c r="P25" s="394">
        <v>0</v>
      </c>
    </row>
    <row r="26" spans="1:16">
      <c r="A26" s="388">
        <v>21</v>
      </c>
      <c r="B26" s="611" t="s">
        <v>906</v>
      </c>
      <c r="C26" s="611"/>
      <c r="D26" s="611"/>
      <c r="E26" s="611"/>
      <c r="F26" s="611"/>
      <c r="G26" s="406" t="s">
        <v>907</v>
      </c>
      <c r="H26" s="415">
        <v>0.125</v>
      </c>
      <c r="I26" s="391">
        <f t="shared" ref="I26:I35" si="0">J26-P26</f>
        <v>2.5</v>
      </c>
      <c r="J26" s="391">
        <f t="shared" ref="J26:J35" si="1">K26-P26</f>
        <v>2.5</v>
      </c>
      <c r="K26" s="392">
        <v>2.5</v>
      </c>
      <c r="L26" s="393">
        <f t="shared" ref="L26:L35" si="2">K26+P26</f>
        <v>2.5</v>
      </c>
      <c r="M26" s="393">
        <f t="shared" ref="M26:M35" si="3">L26+P26</f>
        <v>2.5</v>
      </c>
      <c r="N26" s="393">
        <f t="shared" ref="N26:N35" si="4">M26+P26</f>
        <v>2.5</v>
      </c>
      <c r="O26" s="393">
        <f t="shared" ref="O26:O35" si="5">N26+P26</f>
        <v>2.5</v>
      </c>
      <c r="P26" s="394">
        <v>0</v>
      </c>
    </row>
    <row r="27" spans="1:16" ht="30.75" customHeight="1">
      <c r="A27" s="395">
        <v>22</v>
      </c>
      <c r="B27" s="611" t="s">
        <v>908</v>
      </c>
      <c r="C27" s="611"/>
      <c r="D27" s="611"/>
      <c r="E27" s="611"/>
      <c r="F27" s="611"/>
      <c r="G27" s="406" t="s">
        <v>909</v>
      </c>
      <c r="H27" s="390">
        <v>0.25</v>
      </c>
      <c r="I27" s="391">
        <f t="shared" si="0"/>
        <v>14.25</v>
      </c>
      <c r="J27" s="391">
        <f t="shared" si="1"/>
        <v>14.625</v>
      </c>
      <c r="K27" s="416">
        <v>15</v>
      </c>
      <c r="L27" s="393">
        <f t="shared" si="2"/>
        <v>15.375</v>
      </c>
      <c r="M27" s="393">
        <f t="shared" si="3"/>
        <v>15.75</v>
      </c>
      <c r="N27" s="393">
        <f t="shared" si="4"/>
        <v>16.125</v>
      </c>
      <c r="O27" s="393">
        <f t="shared" si="5"/>
        <v>16.5</v>
      </c>
      <c r="P27" s="394">
        <v>0.375</v>
      </c>
    </row>
    <row r="28" spans="1:16" ht="36.75" customHeight="1">
      <c r="A28" s="388">
        <v>23</v>
      </c>
      <c r="B28" s="612" t="s">
        <v>910</v>
      </c>
      <c r="C28" s="612"/>
      <c r="D28" s="612"/>
      <c r="E28" s="612"/>
      <c r="F28" s="612"/>
      <c r="G28" s="417" t="s">
        <v>911</v>
      </c>
      <c r="H28" s="418">
        <v>0.25</v>
      </c>
      <c r="I28" s="391">
        <f t="shared" si="0"/>
        <v>9</v>
      </c>
      <c r="J28" s="391">
        <f t="shared" si="1"/>
        <v>9.25</v>
      </c>
      <c r="K28" s="416">
        <v>9.5</v>
      </c>
      <c r="L28" s="393">
        <f t="shared" si="2"/>
        <v>9.75</v>
      </c>
      <c r="M28" s="393">
        <f t="shared" si="3"/>
        <v>10</v>
      </c>
      <c r="N28" s="393">
        <f t="shared" si="4"/>
        <v>10.25</v>
      </c>
      <c r="O28" s="393">
        <f t="shared" si="5"/>
        <v>10.5</v>
      </c>
      <c r="P28" s="411">
        <v>0.25</v>
      </c>
    </row>
    <row r="29" spans="1:16">
      <c r="A29" s="388">
        <v>24</v>
      </c>
      <c r="B29" s="611" t="s">
        <v>912</v>
      </c>
      <c r="C29" s="611"/>
      <c r="D29" s="611"/>
      <c r="E29" s="611"/>
      <c r="F29" s="611"/>
      <c r="G29" s="419" t="s">
        <v>913</v>
      </c>
      <c r="H29" s="390">
        <v>0.125</v>
      </c>
      <c r="I29" s="391">
        <f t="shared" si="0"/>
        <v>1</v>
      </c>
      <c r="J29" s="391">
        <f t="shared" si="1"/>
        <v>1</v>
      </c>
      <c r="K29" s="420">
        <v>1</v>
      </c>
      <c r="L29" s="393">
        <f t="shared" si="2"/>
        <v>1</v>
      </c>
      <c r="M29" s="393">
        <f t="shared" si="3"/>
        <v>1</v>
      </c>
      <c r="N29" s="393">
        <f t="shared" si="4"/>
        <v>1</v>
      </c>
      <c r="O29" s="393">
        <f t="shared" si="5"/>
        <v>1</v>
      </c>
      <c r="P29" s="394">
        <v>0</v>
      </c>
    </row>
    <row r="30" spans="1:16" ht="33" customHeight="1">
      <c r="A30" s="395">
        <v>25</v>
      </c>
      <c r="B30" s="611" t="s">
        <v>914</v>
      </c>
      <c r="C30" s="611"/>
      <c r="D30" s="611"/>
      <c r="E30" s="611"/>
      <c r="F30" s="611"/>
      <c r="G30" s="406" t="s">
        <v>915</v>
      </c>
      <c r="H30" s="390">
        <v>0.25</v>
      </c>
      <c r="I30" s="391">
        <f t="shared" si="0"/>
        <v>9.75</v>
      </c>
      <c r="J30" s="391">
        <f t="shared" si="1"/>
        <v>10.25</v>
      </c>
      <c r="K30" s="416">
        <v>10.75</v>
      </c>
      <c r="L30" s="393">
        <f t="shared" si="2"/>
        <v>11.25</v>
      </c>
      <c r="M30" s="393">
        <f t="shared" si="3"/>
        <v>11.75</v>
      </c>
      <c r="N30" s="393">
        <f t="shared" si="4"/>
        <v>12.25</v>
      </c>
      <c r="O30" s="393">
        <f t="shared" si="5"/>
        <v>12.75</v>
      </c>
      <c r="P30" s="394">
        <v>0.5</v>
      </c>
    </row>
    <row r="31" spans="1:16" ht="37.5" customHeight="1">
      <c r="A31" s="388">
        <v>26</v>
      </c>
      <c r="B31" s="611" t="s">
        <v>916</v>
      </c>
      <c r="C31" s="611"/>
      <c r="D31" s="611"/>
      <c r="E31" s="611"/>
      <c r="F31" s="611"/>
      <c r="G31" s="406" t="s">
        <v>917</v>
      </c>
      <c r="H31" s="390">
        <v>0.25</v>
      </c>
      <c r="I31" s="391">
        <f t="shared" si="0"/>
        <v>11.75</v>
      </c>
      <c r="J31" s="391">
        <f t="shared" si="1"/>
        <v>12.25</v>
      </c>
      <c r="K31" s="416">
        <v>12.75</v>
      </c>
      <c r="L31" s="393">
        <f t="shared" si="2"/>
        <v>13.25</v>
      </c>
      <c r="M31" s="393">
        <f t="shared" si="3"/>
        <v>13.75</v>
      </c>
      <c r="N31" s="393">
        <f t="shared" si="4"/>
        <v>14.25</v>
      </c>
      <c r="O31" s="393">
        <f t="shared" si="5"/>
        <v>14.75</v>
      </c>
      <c r="P31" s="394">
        <v>0.5</v>
      </c>
    </row>
    <row r="32" spans="1:16" ht="37.5" customHeight="1">
      <c r="A32" s="395">
        <v>27</v>
      </c>
      <c r="B32" s="613" t="s">
        <v>918</v>
      </c>
      <c r="C32" s="613"/>
      <c r="D32" s="613"/>
      <c r="E32" s="613"/>
      <c r="F32" s="613"/>
      <c r="G32" s="406" t="s">
        <v>919</v>
      </c>
      <c r="H32" s="390">
        <v>0.25</v>
      </c>
      <c r="I32" s="391">
        <f t="shared" si="0"/>
        <v>2.5</v>
      </c>
      <c r="J32" s="391">
        <f t="shared" si="1"/>
        <v>2.75</v>
      </c>
      <c r="K32" s="416">
        <v>3</v>
      </c>
      <c r="L32" s="393">
        <f t="shared" si="2"/>
        <v>3.25</v>
      </c>
      <c r="M32" s="393">
        <f t="shared" si="3"/>
        <v>3.5</v>
      </c>
      <c r="N32" s="393">
        <f t="shared" si="4"/>
        <v>3.75</v>
      </c>
      <c r="O32" s="393">
        <f t="shared" si="5"/>
        <v>4</v>
      </c>
      <c r="P32" s="394">
        <v>0.25</v>
      </c>
    </row>
    <row r="33" spans="1:16" ht="35.25" customHeight="1">
      <c r="A33" s="388">
        <v>28</v>
      </c>
      <c r="B33" s="611" t="s">
        <v>920</v>
      </c>
      <c r="C33" s="611"/>
      <c r="D33" s="611"/>
      <c r="E33" s="611"/>
      <c r="F33" s="611"/>
      <c r="G33" s="408" t="s">
        <v>921</v>
      </c>
      <c r="H33" s="390">
        <v>0.25</v>
      </c>
      <c r="I33" s="391">
        <f t="shared" si="0"/>
        <v>5.75</v>
      </c>
      <c r="J33" s="391">
        <f t="shared" si="1"/>
        <v>6</v>
      </c>
      <c r="K33" s="416">
        <v>6.25</v>
      </c>
      <c r="L33" s="393">
        <f t="shared" si="2"/>
        <v>6.5</v>
      </c>
      <c r="M33" s="393">
        <f t="shared" si="3"/>
        <v>6.75</v>
      </c>
      <c r="N33" s="393">
        <f t="shared" si="4"/>
        <v>7</v>
      </c>
      <c r="O33" s="393">
        <f t="shared" si="5"/>
        <v>7.25</v>
      </c>
      <c r="P33" s="394">
        <v>0.25</v>
      </c>
    </row>
    <row r="34" spans="1:16" ht="35.25" customHeight="1">
      <c r="A34" s="395">
        <v>29</v>
      </c>
      <c r="B34" s="611" t="s">
        <v>922</v>
      </c>
      <c r="C34" s="611"/>
      <c r="D34" s="611"/>
      <c r="E34" s="611"/>
      <c r="F34" s="611"/>
      <c r="G34" s="408" t="s">
        <v>923</v>
      </c>
      <c r="H34" s="390" t="s">
        <v>924</v>
      </c>
      <c r="I34" s="421" t="s">
        <v>925</v>
      </c>
      <c r="J34" s="421" t="s">
        <v>925</v>
      </c>
      <c r="K34" s="422" t="s">
        <v>925</v>
      </c>
      <c r="L34" s="421" t="s">
        <v>925</v>
      </c>
      <c r="M34" s="421" t="s">
        <v>925</v>
      </c>
      <c r="N34" s="421" t="s">
        <v>925</v>
      </c>
      <c r="O34" s="421" t="s">
        <v>925</v>
      </c>
      <c r="P34" s="394"/>
    </row>
    <row r="35" spans="1:16" ht="37.5" customHeight="1">
      <c r="A35" s="395">
        <v>30</v>
      </c>
      <c r="B35" s="611" t="s">
        <v>926</v>
      </c>
      <c r="C35" s="611"/>
      <c r="D35" s="611"/>
      <c r="E35" s="611"/>
      <c r="F35" s="611"/>
      <c r="G35" s="406" t="s">
        <v>927</v>
      </c>
      <c r="H35" s="390">
        <v>0.25</v>
      </c>
      <c r="I35" s="391">
        <f t="shared" si="0"/>
        <v>6.75</v>
      </c>
      <c r="J35" s="391">
        <f t="shared" si="1"/>
        <v>7.25</v>
      </c>
      <c r="K35" s="416">
        <v>7.75</v>
      </c>
      <c r="L35" s="393">
        <f t="shared" si="2"/>
        <v>8.25</v>
      </c>
      <c r="M35" s="393">
        <f t="shared" si="3"/>
        <v>8.75</v>
      </c>
      <c r="N35" s="393">
        <f t="shared" si="4"/>
        <v>9.25</v>
      </c>
      <c r="O35" s="393">
        <f t="shared" si="5"/>
        <v>9.75</v>
      </c>
      <c r="P35" s="394">
        <v>0.5</v>
      </c>
    </row>
  </sheetData>
  <mergeCells count="41">
    <mergeCell ref="A1:C1"/>
    <mergeCell ref="H1:J1"/>
    <mergeCell ref="K1:L1"/>
    <mergeCell ref="N1:O1"/>
    <mergeCell ref="A2:C2"/>
    <mergeCell ref="H2:J2"/>
    <mergeCell ref="K2:L2"/>
    <mergeCell ref="N2:O2"/>
    <mergeCell ref="B14:F14"/>
    <mergeCell ref="A3:C3"/>
    <mergeCell ref="H3:J3"/>
    <mergeCell ref="K3:L3"/>
    <mergeCell ref="N3:O3"/>
    <mergeCell ref="B5:F5"/>
    <mergeCell ref="B6:F6"/>
    <mergeCell ref="Q7:R7"/>
    <mergeCell ref="B10:F10"/>
    <mergeCell ref="B11:F11"/>
    <mergeCell ref="B12:F12"/>
    <mergeCell ref="B13:F13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3:F33"/>
    <mergeCell ref="B34:F34"/>
    <mergeCell ref="B35:F35"/>
    <mergeCell ref="B27:F27"/>
    <mergeCell ref="B28:F28"/>
    <mergeCell ref="B29:F29"/>
    <mergeCell ref="B30:F30"/>
    <mergeCell ref="B31:F31"/>
    <mergeCell ref="B32:F32"/>
  </mergeCells>
  <printOptions horizontalCentered="1"/>
  <pageMargins left="0.2" right="0" top="0.72" bottom="0.65" header="0.21" footer="0.25"/>
  <pageSetup paperSize="9" scale="67" fitToHeight="2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67" activePane="bottomRight" state="frozen"/>
      <selection activeCell="B43" sqref="B43:Q43"/>
      <selection pane="topRight" activeCell="B43" sqref="B43:Q43"/>
      <selection pane="bottomLeft" activeCell="B43" sqref="B43:Q43"/>
      <selection pane="bottomRight" activeCell="G3" sqref="G3:G30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46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45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45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45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45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45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45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45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45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45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45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45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45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45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45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45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45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45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45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45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45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45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45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45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45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45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45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47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48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48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48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48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48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48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48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48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48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48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48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48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 hidden="1">
      <c r="A43" s="313"/>
      <c r="B43" s="308" t="s">
        <v>769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48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48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48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48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48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48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48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48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48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48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48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48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48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48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48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48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48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48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48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48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48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48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48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48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48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48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48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48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48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48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42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42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42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42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42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42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42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42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42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42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42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42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42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42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42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42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42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42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42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42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42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42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42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42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42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42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42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42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42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42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42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42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42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42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42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42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42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42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42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42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42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42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43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44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44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44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44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44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44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44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44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44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44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44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44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44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44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44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44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44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44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44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44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44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44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44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44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44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44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44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44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44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44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44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44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44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44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44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44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44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44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44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44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44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45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45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45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45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45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45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45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45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45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45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45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45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45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45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45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45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45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45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45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45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45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45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45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45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45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45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45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45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45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45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45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45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45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45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45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45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45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45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45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45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45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45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44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44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44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44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44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44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44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44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44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44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44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44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44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44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44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44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44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44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44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44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44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44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44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44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44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44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44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44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44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44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44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44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44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44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44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44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44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44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44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44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44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44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42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42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42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42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42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42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42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42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42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42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42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42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42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42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42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42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42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42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42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42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42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42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42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42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42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42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42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42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42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42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42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42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42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42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42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42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42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42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42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42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42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42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43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44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44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44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44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44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44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44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44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44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44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44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44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44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44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44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44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44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44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44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44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44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44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44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44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44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44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44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44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44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44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44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44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44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44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44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44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44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44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44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44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44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45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45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45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45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45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45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45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45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45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45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45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45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45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45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45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45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45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45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45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45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45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45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45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45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45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45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45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45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45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45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45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45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45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45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45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45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45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45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45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45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45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45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0V3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1" t="s">
        <v>0</v>
      </c>
      <c r="O1" s="451" t="s">
        <v>0</v>
      </c>
      <c r="P1" s="452" t="s">
        <v>1</v>
      </c>
      <c r="Q1" s="452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1" t="s">
        <v>2</v>
      </c>
      <c r="O2" s="451" t="s">
        <v>2</v>
      </c>
      <c r="P2" s="453" t="s">
        <v>3</v>
      </c>
      <c r="Q2" s="453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1" t="s">
        <v>4</v>
      </c>
      <c r="O3" s="451" t="s">
        <v>4</v>
      </c>
      <c r="P3" s="454" t="s">
        <v>5</v>
      </c>
      <c r="Q3" s="452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36" t="s">
        <v>765</v>
      </c>
      <c r="H5" s="437"/>
      <c r="I5" s="437"/>
      <c r="J5" s="437"/>
      <c r="K5" s="437"/>
      <c r="L5" s="437"/>
      <c r="M5" s="43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39"/>
      <c r="H6" s="440"/>
      <c r="I6" s="440"/>
      <c r="J6" s="440"/>
      <c r="K6" s="440"/>
      <c r="L6" s="440"/>
      <c r="M6" s="44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39"/>
      <c r="H7" s="440"/>
      <c r="I7" s="440"/>
      <c r="J7" s="440"/>
      <c r="K7" s="440"/>
      <c r="L7" s="440"/>
      <c r="M7" s="44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45" t="s">
        <v>568</v>
      </c>
      <c r="E8" s="445"/>
      <c r="F8" s="445"/>
      <c r="G8" s="442"/>
      <c r="H8" s="443"/>
      <c r="I8" s="443"/>
      <c r="J8" s="443"/>
      <c r="K8" s="443"/>
      <c r="L8" s="443"/>
      <c r="M8" s="44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46">
        <v>45447</v>
      </c>
      <c r="E11" s="447"/>
      <c r="F11" s="447"/>
      <c r="G11" s="241"/>
      <c r="H11" s="240"/>
      <c r="I11" s="186"/>
      <c r="J11" s="238" t="s">
        <v>20</v>
      </c>
      <c r="K11" s="186"/>
      <c r="L11" s="186"/>
      <c r="M11" s="448" t="s">
        <v>730</v>
      </c>
      <c r="N11" s="448"/>
      <c r="O11" s="448"/>
      <c r="P11" s="448"/>
      <c r="Q11" s="44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449"/>
      <c r="C13" s="449"/>
      <c r="D13" s="449"/>
      <c r="E13" s="449"/>
      <c r="F13" s="449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731</v>
      </c>
      <c r="E18" s="650" t="s">
        <v>741</v>
      </c>
      <c r="F18" s="650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50" t="s">
        <v>742</v>
      </c>
      <c r="F19" s="650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732</v>
      </c>
      <c r="E23" s="650" t="s">
        <v>741</v>
      </c>
      <c r="F23" s="650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50" t="s">
        <v>742</v>
      </c>
      <c r="F24" s="650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733</v>
      </c>
      <c r="E28" s="650" t="s">
        <v>741</v>
      </c>
      <c r="F28" s="650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50" t="s">
        <v>742</v>
      </c>
      <c r="F29" s="650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51" t="str">
        <f>+D29</f>
        <v>MOONLIGHT</v>
      </c>
      <c r="E31" s="651"/>
      <c r="F31" s="651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57" t="s">
        <v>739</v>
      </c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49" t="s">
        <v>769</v>
      </c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49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771</v>
      </c>
      <c r="D44" s="97" t="s">
        <v>770</v>
      </c>
      <c r="G44" s="97"/>
      <c r="H44" s="96">
        <v>0.28000000000000003</v>
      </c>
    </row>
    <row r="45" spans="2:17" s="96" customFormat="1" ht="27.5">
      <c r="D45" s="96" t="s">
        <v>772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771</v>
      </c>
      <c r="D50" s="97" t="s">
        <v>770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771</v>
      </c>
      <c r="D54" s="97" t="s">
        <v>770</v>
      </c>
      <c r="G54" s="97"/>
      <c r="H54" s="96">
        <v>0.28000000000000003</v>
      </c>
    </row>
    <row r="55" spans="2:14" s="96" customFormat="1" ht="27.5">
      <c r="G55" s="97"/>
      <c r="N55" s="96" t="s">
        <v>767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  <mergeCell ref="G5:M8"/>
    <mergeCell ref="D8:F8"/>
    <mergeCell ref="D11:F11"/>
    <mergeCell ref="M11:Q11"/>
    <mergeCell ref="B13:F13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zoomScale="85" zoomScaleNormal="85" zoomScaleSheetLayoutView="85" zoomScalePageLayoutView="70" workbookViewId="0">
      <selection activeCell="D8" sqref="D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54" t="s">
        <v>235</v>
      </c>
      <c r="C4" s="654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55"/>
      <c r="C5" s="655"/>
      <c r="D5" s="273"/>
      <c r="E5"/>
      <c r="F5" s="270"/>
      <c r="G5" s="270"/>
      <c r="H5"/>
    </row>
    <row r="6" spans="1:8" s="265" customFormat="1" ht="17.25" customHeight="1" thickBot="1">
      <c r="A6" s="270"/>
      <c r="B6" s="654" t="s">
        <v>236</v>
      </c>
      <c r="C6" s="65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56"/>
      <c r="C7" s="656"/>
      <c r="D7" s="273"/>
      <c r="E7"/>
      <c r="F7" s="275"/>
      <c r="G7" s="276"/>
      <c r="H7"/>
    </row>
    <row r="8" spans="1:8" s="265" customFormat="1" ht="17.25" customHeight="1" thickBot="1">
      <c r="A8" s="270"/>
      <c r="B8" s="654" t="s">
        <v>238</v>
      </c>
      <c r="C8" s="654"/>
      <c r="D8" s="274" t="str">
        <f>'1. CUTTING DOCKET'!D7</f>
        <v>D15-SHD130V3A2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3" t="s">
        <v>242</v>
      </c>
      <c r="D10" s="653"/>
      <c r="E10" s="653"/>
      <c r="F10" s="653"/>
      <c r="G10" s="280" t="s">
        <v>243</v>
      </c>
      <c r="H10" s="280" t="s">
        <v>244</v>
      </c>
    </row>
    <row r="11" spans="1:8" s="265" customFormat="1" ht="106.9" customHeight="1" thickBot="1">
      <c r="A11" s="657">
        <v>1</v>
      </c>
      <c r="B11" s="282" t="s">
        <v>245</v>
      </c>
      <c r="C11" s="658" t="s">
        <v>253</v>
      </c>
      <c r="D11" s="658"/>
      <c r="E11" s="658"/>
      <c r="F11" s="658"/>
      <c r="G11" s="657"/>
      <c r="H11" s="281"/>
    </row>
    <row r="12" spans="1:8" s="265" customFormat="1" ht="126.75" customHeight="1" thickBot="1">
      <c r="A12" s="657"/>
      <c r="B12" s="282" t="s">
        <v>246</v>
      </c>
      <c r="C12" s="659" t="str">
        <f>'1. CUTTING DOCKET'!G5</f>
        <v>TRIỂN KHAI SẢN XUẤT:
THAM KHẢO CÁCH MAY: MẪU FIT MÃ D15-SHD130V3 MÀU WHITE ĐÃ CHUYỂN CÙNG TÁC NGHIỆP D15-SHD130V3A1M NGÀY 10/6/24</v>
      </c>
      <c r="D12" s="659"/>
      <c r="E12" s="659"/>
      <c r="F12" s="659"/>
      <c r="G12" s="657"/>
      <c r="H12" s="281"/>
    </row>
    <row r="13" spans="1:8" s="265" customFormat="1" ht="106.9" customHeight="1" thickBot="1">
      <c r="A13" s="281">
        <v>2</v>
      </c>
      <c r="B13" s="282" t="s">
        <v>247</v>
      </c>
      <c r="C13" s="652" t="str">
        <f>'1. CUTTING DOCKET'!C101</f>
        <v>KHÔNG IN</v>
      </c>
      <c r="D13" s="652"/>
      <c r="E13" s="652"/>
      <c r="F13" s="652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2" t="str">
        <f>'1. CUTTING DOCKET'!C113</f>
        <v>KHÔNG THÊU</v>
      </c>
      <c r="D14" s="652"/>
      <c r="E14" s="652"/>
      <c r="F14" s="652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2" t="str">
        <f>'1. CUTTING DOCKET'!C125</f>
        <v xml:space="preserve">GARMENT WASH </v>
      </c>
      <c r="D15" s="652"/>
      <c r="E15" s="652"/>
      <c r="F15" s="652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2"/>
      <c r="D16" s="652"/>
      <c r="E16" s="652"/>
      <c r="F16" s="652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62" t="s">
        <v>251</v>
      </c>
      <c r="C18" s="662"/>
      <c r="D18" s="662"/>
      <c r="E18" s="283"/>
      <c r="F18" s="283"/>
      <c r="G18" s="662" t="s">
        <v>252</v>
      </c>
      <c r="H18" s="662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61" t="s">
        <v>738</v>
      </c>
      <c r="C37" s="661"/>
      <c r="D37" s="661"/>
      <c r="E37" s="661"/>
      <c r="F37" s="661"/>
      <c r="G37" s="661"/>
      <c r="H37" s="661"/>
      <c r="I37" s="661"/>
      <c r="J37" s="661"/>
      <c r="K37" s="661"/>
      <c r="L37" s="661"/>
      <c r="M37" s="661"/>
      <c r="N37" s="661"/>
      <c r="O37" s="661"/>
      <c r="P37" s="661"/>
      <c r="Q37" s="661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60" t="s">
        <v>769</v>
      </c>
      <c r="C39" s="660"/>
      <c r="D39" s="660"/>
      <c r="E39" s="660"/>
      <c r="F39" s="660"/>
      <c r="G39" s="660"/>
      <c r="H39" s="660"/>
      <c r="I39" s="660"/>
      <c r="J39" s="660"/>
      <c r="K39" s="660"/>
      <c r="L39" s="660"/>
      <c r="M39" s="660"/>
      <c r="N39" s="660"/>
      <c r="O39" s="660"/>
      <c r="P39" s="660"/>
      <c r="Q39" s="660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771</v>
      </c>
      <c r="C44" s="286"/>
      <c r="D44" s="359" t="s">
        <v>770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772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771</v>
      </c>
      <c r="C50" s="286"/>
      <c r="D50" s="359" t="s">
        <v>770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771</v>
      </c>
      <c r="C54" s="286"/>
      <c r="D54" s="359" t="s">
        <v>770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767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B39:Q39"/>
    <mergeCell ref="B37:Q37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(BC01,BC06)</vt:lpstr>
      <vt:lpstr>1. CUTTING DOCKET</vt:lpstr>
      <vt:lpstr>GREY</vt:lpstr>
      <vt:lpstr>MKT CUTTING</vt:lpstr>
      <vt:lpstr>2. TRIM CARD</vt:lpstr>
      <vt:lpstr>UA FULL SIZE 120324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(BC01,BC06)'!Print_Area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'MKT CUTTING'!Print_Area</vt:lpstr>
      <vt:lpstr>'UA FULL SIZE 120324'!Print_Area</vt:lpstr>
      <vt:lpstr>'1. CUTTING DOCKET'!Print_Titles</vt:lpstr>
      <vt:lpstr>'1. CUTTING DOCKET (BC01,BC06)'!Print_Titles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'MKT CUTTING'!Print_Titles</vt:lpstr>
      <vt:lpstr>'UA FULL SIZE 120324'!Print_Titles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Quynh Phan Le Dieu</cp:lastModifiedBy>
  <cp:revision/>
  <cp:lastPrinted>2024-06-19T06:43:20Z</cp:lastPrinted>
  <dcterms:created xsi:type="dcterms:W3CDTF">2016-05-06T01:47:29Z</dcterms:created>
  <dcterms:modified xsi:type="dcterms:W3CDTF">2024-07-11T03:25:53Z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