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OCTOBERS VERY OWN/3-FW24/2-PRODUCTION/2-STYLE-FILE/3. CUTTING DOCKET/5. GRAPHIC 3/2. BULK/"/>
    </mc:Choice>
  </mc:AlternateContent>
  <xr:revisionPtr revIDLastSave="73" documentId="13_ncr:1_{9375BBF1-9301-44B4-B207-517FAC836E0F}" xr6:coauthVersionLast="47" xr6:coauthVersionMax="47" xr10:uidLastSave="{D096D0C1-77CE-4B6A-8813-DB0A0222239B}"/>
  <bookViews>
    <workbookView xWindow="-110" yWindow="-110" windowWidth="19420" windowHeight="10300" tabRatio="858" xr2:uid="{00000000-000D-0000-FFFF-FFFF00000000}"/>
  </bookViews>
  <sheets>
    <sheet name="1. CUTTING DOCKET" sheetId="1" r:id="rId1"/>
    <sheet name="2. TRIM CARD" sheetId="5" r:id="rId2"/>
    <sheet name="3. ĐỊNH VỊ HÌNH IN" sheetId="27" r:id="rId3"/>
    <sheet name="3. THÔNG SỐ" sheetId="37" r:id="rId4"/>
    <sheet name="4. COMMENTS" sheetId="35" r:id="rId5"/>
    <sheet name="6. PP MEETING" sheetId="38" r:id="rId6"/>
  </sheets>
  <externalReferences>
    <externalReference r:id="rId7"/>
    <externalReference r:id="rId8"/>
    <externalReference r:id="rId9"/>
  </externalReferences>
  <definedNames>
    <definedName name="\5">#REF!</definedName>
    <definedName name="\C">#REF!</definedName>
    <definedName name="\d">#REF!</definedName>
    <definedName name="\E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S">#REF!</definedName>
    <definedName name="\T">#REF!</definedName>
    <definedName name="_Fill" localSheetId="1" hidden="1">#REF!</definedName>
    <definedName name="_Fill" localSheetId="5" hidden="1">#REF!</definedName>
    <definedName name="_Fill" hidden="1">#REF!</definedName>
    <definedName name="_xlnm._FilterDatabase" localSheetId="0" hidden="1">'1. CUTTING DOCKET'!$A$91:$U$135</definedName>
    <definedName name="Amount">#REF!</definedName>
    <definedName name="Buttons">#REF!</definedName>
    <definedName name="By">#REF!</definedName>
    <definedName name="CareInstructions">#REF!</definedName>
    <definedName name="choi">#REF!</definedName>
    <definedName name="Cloth">#REF!</definedName>
    <definedName name="Detatchable">#REF!</definedName>
    <definedName name="fitcomments">#REF!</definedName>
    <definedName name="FITSAMPLE">#REF!</definedName>
    <definedName name="INTERNAL_INVOICE">[1]UN!#REF!</definedName>
    <definedName name="Issued">#REF!</definedName>
    <definedName name="jian">#REF!</definedName>
    <definedName name="kind">#REF!</definedName>
    <definedName name="KKKKK">[1]UN!#REF!</definedName>
    <definedName name="Label">#REF!</definedName>
    <definedName name="Lininig">#REF!</definedName>
    <definedName name="Lot">#REF!</definedName>
    <definedName name="MadeIn">#REF!</definedName>
    <definedName name="Pads">#REF!</definedName>
    <definedName name="_xlnm.Print_Area" localSheetId="0">'1. CUTTING DOCKET'!$A$1:$Q$172</definedName>
    <definedName name="_xlnm.Print_Area" localSheetId="1">'2. TRIM CARD'!$A$1:$B$34</definedName>
    <definedName name="_xlnm.Print_Area" localSheetId="2">'3. ĐỊNH VỊ HÌNH IN'!$A$1:$P$75</definedName>
    <definedName name="_xlnm.Print_Area" localSheetId="5">'6. PP MEETING'!$A$1:$H$19</definedName>
    <definedName name="_xlnm.Print_Titles" localSheetId="0">'1. CUTTING DOCKET'!$1:$15</definedName>
    <definedName name="_xlnm.Print_Titles" localSheetId="1">'2. TRIM CARD'!$1:$5</definedName>
    <definedName name="Remarks">#REF!</definedName>
    <definedName name="Required">#REF!</definedName>
    <definedName name="Season">#REF!</definedName>
    <definedName name="Shell">#REF!</definedName>
    <definedName name="Size">#REF!</definedName>
    <definedName name="SL">#REF!</definedName>
    <definedName name="Stitching">#REF!</definedName>
    <definedName name="Style">#REF!</definedName>
    <definedName name="XS">#REF!</definedName>
    <definedName name="Zipper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3" i="38" l="1"/>
  <c r="D8" i="38"/>
  <c r="C15" i="38"/>
  <c r="G8" i="38"/>
  <c r="G6" i="38"/>
  <c r="D4" i="38"/>
  <c r="G63" i="1"/>
  <c r="H63" i="1"/>
  <c r="I63" i="1"/>
  <c r="J63" i="1"/>
  <c r="K63" i="1"/>
  <c r="L63" i="1"/>
  <c r="F63" i="1"/>
  <c r="E89" i="1" l="1"/>
  <c r="R88" i="1"/>
  <c r="U88" i="1" s="1"/>
  <c r="B88" i="1"/>
  <c r="A87" i="1"/>
  <c r="H94" i="1" s="1"/>
  <c r="H97" i="1" s="1"/>
  <c r="H100" i="1" s="1"/>
  <c r="H103" i="1" s="1"/>
  <c r="H106" i="1" s="1"/>
  <c r="H109" i="1" s="1"/>
  <c r="H114" i="1" s="1"/>
  <c r="H117" i="1" s="1"/>
  <c r="H120" i="1" s="1"/>
  <c r="H123" i="1" s="1"/>
  <c r="H126" i="1" s="1"/>
  <c r="H129" i="1" s="1"/>
  <c r="H132" i="1" s="1"/>
  <c r="H135" i="1" s="1"/>
  <c r="E86" i="1"/>
  <c r="R85" i="1"/>
  <c r="U85" i="1" s="1"/>
  <c r="B85" i="1"/>
  <c r="Q60" i="1"/>
  <c r="L59" i="1"/>
  <c r="L61" i="1" s="1"/>
  <c r="K59" i="1"/>
  <c r="K61" i="1" s="1"/>
  <c r="J59" i="1"/>
  <c r="J61" i="1" s="1"/>
  <c r="I59" i="1"/>
  <c r="I61" i="1" s="1"/>
  <c r="H59" i="1"/>
  <c r="H61" i="1" s="1"/>
  <c r="G59" i="1"/>
  <c r="G61" i="1" s="1"/>
  <c r="F59" i="1"/>
  <c r="F61" i="1" s="1"/>
  <c r="D59" i="1"/>
  <c r="D61" i="1" s="1"/>
  <c r="Q58" i="1"/>
  <c r="G53" i="1"/>
  <c r="H53" i="1"/>
  <c r="I53" i="1"/>
  <c r="J53" i="1"/>
  <c r="K53" i="1"/>
  <c r="L53" i="1"/>
  <c r="F53" i="1"/>
  <c r="Q54" i="1"/>
  <c r="G19" i="1"/>
  <c r="H19" i="1"/>
  <c r="H21" i="1" s="1"/>
  <c r="I19" i="1"/>
  <c r="I21" i="1" s="1"/>
  <c r="J19" i="1"/>
  <c r="J21" i="1" s="1"/>
  <c r="K19" i="1"/>
  <c r="L19" i="1"/>
  <c r="F19" i="1"/>
  <c r="Q20" i="1"/>
  <c r="Q59" i="1" l="1"/>
  <c r="Q61" i="1" s="1"/>
  <c r="L55" i="1"/>
  <c r="K55" i="1"/>
  <c r="J55" i="1"/>
  <c r="I55" i="1"/>
  <c r="H55" i="1"/>
  <c r="G55" i="1"/>
  <c r="D53" i="1"/>
  <c r="D55" i="1" s="1"/>
  <c r="A84" i="1" s="1"/>
  <c r="H96" i="1" s="1"/>
  <c r="H99" i="1" s="1"/>
  <c r="H102" i="1" s="1"/>
  <c r="H105" i="1" s="1"/>
  <c r="H108" i="1" s="1"/>
  <c r="H113" i="1" s="1"/>
  <c r="H116" i="1" s="1"/>
  <c r="H119" i="1" s="1"/>
  <c r="H122" i="1" s="1"/>
  <c r="H125" i="1" s="1"/>
  <c r="H128" i="1" s="1"/>
  <c r="H131" i="1" s="1"/>
  <c r="H134" i="1" s="1"/>
  <c r="Q52" i="1"/>
  <c r="S61" i="1" l="1"/>
  <c r="G88" i="1"/>
  <c r="K94" i="1" s="1"/>
  <c r="K97" i="1" s="1"/>
  <c r="K100" i="1" s="1"/>
  <c r="K103" i="1" s="1"/>
  <c r="K106" i="1" s="1"/>
  <c r="K109" i="1" s="1"/>
  <c r="K114" i="1" s="1"/>
  <c r="K117" i="1" s="1"/>
  <c r="K120" i="1" s="1"/>
  <c r="Q53" i="1"/>
  <c r="Q55" i="1" s="1"/>
  <c r="F55" i="1"/>
  <c r="Q63" i="1" s="1"/>
  <c r="S55" i="1" l="1"/>
  <c r="G85" i="1"/>
  <c r="K93" i="1" s="1"/>
  <c r="K96" i="1" s="1"/>
  <c r="K99" i="1" s="1"/>
  <c r="K102" i="1" s="1"/>
  <c r="K105" i="1" s="1"/>
  <c r="K108" i="1" s="1"/>
  <c r="K113" i="1" s="1"/>
  <c r="K116" i="1" s="1"/>
  <c r="K119" i="1" s="1"/>
  <c r="K122" i="1" s="1"/>
  <c r="K123" i="1" l="1"/>
  <c r="K126" i="1" s="1"/>
  <c r="K129" i="1" s="1"/>
  <c r="K132" i="1" s="1"/>
  <c r="K125" i="1"/>
  <c r="K128" i="1" s="1"/>
  <c r="K131" i="1" s="1"/>
  <c r="E83" i="1"/>
  <c r="R82" i="1"/>
  <c r="U82" i="1" s="1"/>
  <c r="B82" i="1"/>
  <c r="H49" i="1"/>
  <c r="D48" i="1"/>
  <c r="D49" i="1" s="1"/>
  <c r="L47" i="1"/>
  <c r="K47" i="1"/>
  <c r="J47" i="1"/>
  <c r="I47" i="1"/>
  <c r="I48" i="1" s="1"/>
  <c r="G47" i="1"/>
  <c r="G48" i="1" s="1"/>
  <c r="G49" i="1" s="1"/>
  <c r="F47" i="1"/>
  <c r="L26" i="1"/>
  <c r="K26" i="1"/>
  <c r="J26" i="1"/>
  <c r="I26" i="1"/>
  <c r="H26" i="1"/>
  <c r="G26" i="1"/>
  <c r="F26" i="1"/>
  <c r="K135" i="1" l="1"/>
  <c r="K134" i="1"/>
  <c r="A81" i="1"/>
  <c r="C5" i="5"/>
  <c r="B142" i="1"/>
  <c r="Q47" i="1"/>
  <c r="I49" i="1"/>
  <c r="J48" i="1"/>
  <c r="J49" i="1" s="1"/>
  <c r="K48" i="1"/>
  <c r="K49" i="1" s="1"/>
  <c r="L48" i="1"/>
  <c r="L49" i="1" s="1"/>
  <c r="F48" i="1"/>
  <c r="F49" i="1" s="1"/>
  <c r="Q44" i="1"/>
  <c r="Q33" i="1"/>
  <c r="Q27" i="1"/>
  <c r="S70" i="1"/>
  <c r="R67" i="1"/>
  <c r="U67" i="1" s="1"/>
  <c r="Q48" i="1" l="1"/>
  <c r="E12" i="5"/>
  <c r="D12" i="5"/>
  <c r="C12" i="5"/>
  <c r="B12" i="5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92" i="1"/>
  <c r="S49" i="1" l="1"/>
  <c r="Q49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12" i="1"/>
  <c r="L132" i="1"/>
  <c r="L135" i="1" s="1"/>
  <c r="L129" i="1"/>
  <c r="L94" i="1"/>
  <c r="G31" i="1"/>
  <c r="G32" i="1" s="1"/>
  <c r="H31" i="1"/>
  <c r="H32" i="1" s="1"/>
  <c r="I31" i="1"/>
  <c r="I32" i="1" s="1"/>
  <c r="J31" i="1"/>
  <c r="J32" i="1" s="1"/>
  <c r="K31" i="1"/>
  <c r="K32" i="1" s="1"/>
  <c r="L31" i="1"/>
  <c r="L32" i="1" s="1"/>
  <c r="F32" i="1"/>
  <c r="G37" i="1" l="1"/>
  <c r="H37" i="1"/>
  <c r="I37" i="1"/>
  <c r="J37" i="1"/>
  <c r="K37" i="1"/>
  <c r="L37" i="1"/>
  <c r="S71" i="1" l="1"/>
  <c r="I38" i="1"/>
  <c r="H38" i="1"/>
  <c r="G38" i="1"/>
  <c r="F38" i="1"/>
  <c r="L38" i="1"/>
  <c r="K38" i="1"/>
  <c r="J38" i="1"/>
  <c r="C37" i="1"/>
  <c r="C31" i="1"/>
  <c r="L131" i="1" l="1"/>
  <c r="L134" i="1" s="1"/>
  <c r="L130" i="1"/>
  <c r="L133" i="1" s="1"/>
  <c r="L128" i="1"/>
  <c r="L127" i="1"/>
  <c r="C25" i="1" l="1"/>
  <c r="K21" i="1"/>
  <c r="L21" i="1"/>
  <c r="F21" i="1"/>
  <c r="B33" i="5" l="1"/>
  <c r="B31" i="5"/>
  <c r="A31" i="5"/>
  <c r="A29" i="5"/>
  <c r="B27" i="5"/>
  <c r="A27" i="5"/>
  <c r="B25" i="5"/>
  <c r="A25" i="5"/>
  <c r="B23" i="5"/>
  <c r="A23" i="5"/>
  <c r="L93" i="1"/>
  <c r="B21" i="5" l="1"/>
  <c r="A21" i="5"/>
  <c r="A19" i="5" l="1"/>
  <c r="A15" i="5"/>
  <c r="B15" i="5"/>
  <c r="E71" i="1"/>
  <c r="L92" i="1" l="1"/>
  <c r="B19" i="5" l="1"/>
  <c r="B17" i="5"/>
  <c r="A17" i="5"/>
  <c r="B13" i="5"/>
  <c r="A13" i="5"/>
  <c r="A12" i="5"/>
  <c r="A9" i="5"/>
  <c r="G21" i="1" l="1"/>
  <c r="H42" i="1"/>
  <c r="I42" i="1"/>
  <c r="J42" i="1"/>
  <c r="K42" i="1"/>
  <c r="L42" i="1"/>
  <c r="C172" i="1" l="1"/>
  <c r="I172" i="1"/>
  <c r="Q18" i="1" l="1"/>
  <c r="G42" i="1" l="1"/>
  <c r="B79" i="1" l="1"/>
  <c r="B76" i="1"/>
  <c r="B73" i="1"/>
  <c r="B70" i="1"/>
  <c r="K43" i="1" l="1"/>
  <c r="J43" i="1"/>
  <c r="I43" i="1"/>
  <c r="H43" i="1"/>
  <c r="D42" i="1"/>
  <c r="D43" i="1" s="1"/>
  <c r="Q41" i="1"/>
  <c r="D37" i="1"/>
  <c r="D38" i="1" s="1"/>
  <c r="Q36" i="1"/>
  <c r="D31" i="1"/>
  <c r="D32" i="1" s="1"/>
  <c r="B143" i="1" l="1"/>
  <c r="D5" i="5"/>
  <c r="B144" i="1"/>
  <c r="E5" i="5"/>
  <c r="A72" i="1"/>
  <c r="E79" i="1"/>
  <c r="E80" i="1" s="1"/>
  <c r="A78" i="1"/>
  <c r="E76" i="1"/>
  <c r="E77" i="1" s="1"/>
  <c r="A75" i="1"/>
  <c r="E73" i="1"/>
  <c r="Q42" i="1"/>
  <c r="G43" i="1"/>
  <c r="Q37" i="1"/>
  <c r="D11" i="5" l="1"/>
  <c r="D6" i="5"/>
  <c r="D9" i="5" s="1"/>
  <c r="Q43" i="1"/>
  <c r="S43" i="1"/>
  <c r="Q38" i="1"/>
  <c r="S38" i="1"/>
  <c r="G79" i="1" l="1"/>
  <c r="G80" i="1" s="1"/>
  <c r="I80" i="1" s="1"/>
  <c r="G76" i="1"/>
  <c r="I79" i="1" l="1"/>
  <c r="J79" i="1" s="1"/>
  <c r="M79" i="1" s="1"/>
  <c r="J80" i="1"/>
  <c r="M80" i="1" s="1"/>
  <c r="A8" i="5" l="1"/>
  <c r="B7" i="5"/>
  <c r="B67" i="1" l="1"/>
  <c r="D25" i="1" l="1"/>
  <c r="D26" i="1" s="1"/>
  <c r="Q24" i="1"/>
  <c r="F94" i="1" l="1"/>
  <c r="E74" i="1"/>
  <c r="B158" i="1"/>
  <c r="Q25" i="1"/>
  <c r="C11" i="5" l="1"/>
  <c r="C9" i="5"/>
  <c r="E11" i="5"/>
  <c r="E6" i="5"/>
  <c r="E9" i="5" s="1"/>
  <c r="Q26" i="1"/>
  <c r="S26" i="1"/>
  <c r="M116" i="1" l="1"/>
  <c r="O116" i="1" s="1"/>
  <c r="M122" i="1"/>
  <c r="O122" i="1" s="1"/>
  <c r="M128" i="1"/>
  <c r="O128" i="1" s="1"/>
  <c r="M134" i="1"/>
  <c r="O134" i="1" s="1"/>
  <c r="M108" i="1"/>
  <c r="O108" i="1" s="1"/>
  <c r="M119" i="1"/>
  <c r="O119" i="1" s="1"/>
  <c r="M125" i="1"/>
  <c r="O125" i="1" s="1"/>
  <c r="M131" i="1"/>
  <c r="O131" i="1" s="1"/>
  <c r="M113" i="1"/>
  <c r="O113" i="1" s="1"/>
  <c r="G70" i="1"/>
  <c r="G71" i="1" s="1"/>
  <c r="I71" i="1" s="1"/>
  <c r="I70" i="1" l="1"/>
  <c r="J71" i="1"/>
  <c r="M71" i="1" s="1"/>
  <c r="J70" i="1" l="1"/>
  <c r="M70" i="1" s="1"/>
  <c r="D172" i="1"/>
  <c r="E172" i="1" l="1"/>
  <c r="Q31" i="1" l="1"/>
  <c r="Q30" i="1"/>
  <c r="S32" i="1" l="1"/>
  <c r="B160" i="1"/>
  <c r="B159" i="1"/>
  <c r="Q32" i="1"/>
  <c r="M117" i="1" l="1"/>
  <c r="O117" i="1" s="1"/>
  <c r="M123" i="1"/>
  <c r="O123" i="1" s="1"/>
  <c r="M129" i="1"/>
  <c r="O129" i="1" s="1"/>
  <c r="M135" i="1"/>
  <c r="O135" i="1" s="1"/>
  <c r="M97" i="1"/>
  <c r="O97" i="1" s="1"/>
  <c r="M103" i="1"/>
  <c r="O103" i="1" s="1"/>
  <c r="M109" i="1"/>
  <c r="O109" i="1" s="1"/>
  <c r="M114" i="1"/>
  <c r="O114" i="1" s="1"/>
  <c r="M94" i="1"/>
  <c r="O94" i="1" s="1"/>
  <c r="M120" i="1"/>
  <c r="O120" i="1" s="1"/>
  <c r="M126" i="1"/>
  <c r="O126" i="1" s="1"/>
  <c r="M132" i="1"/>
  <c r="O132" i="1" s="1"/>
  <c r="M100" i="1"/>
  <c r="O100" i="1" s="1"/>
  <c r="M106" i="1"/>
  <c r="O106" i="1" s="1"/>
  <c r="G73" i="1"/>
  <c r="G74" i="1" l="1"/>
  <c r="I74" i="1" s="1"/>
  <c r="J74" i="1" s="1"/>
  <c r="I73" i="1"/>
  <c r="J73" i="1" s="1"/>
  <c r="G77" i="1"/>
  <c r="I77" i="1" s="1"/>
  <c r="J77" i="1" s="1"/>
  <c r="I76" i="1"/>
  <c r="A10" i="5"/>
  <c r="J76" i="1" l="1"/>
  <c r="M76" i="1" s="1"/>
  <c r="M74" i="1"/>
  <c r="M73" i="1"/>
  <c r="M77" i="1"/>
  <c r="F172" i="1" l="1"/>
  <c r="G172" i="1"/>
  <c r="H172" i="1"/>
  <c r="D19" i="1"/>
  <c r="D21" i="1" s="1"/>
  <c r="B2" i="5"/>
  <c r="B3" i="5"/>
  <c r="A4" i="5"/>
  <c r="A3" i="5"/>
  <c r="A2" i="5"/>
  <c r="B4" i="5"/>
  <c r="Q19" i="1"/>
  <c r="Q21" i="1" s="1"/>
  <c r="G67" i="1" s="1"/>
  <c r="I85" i="1" l="1"/>
  <c r="H92" i="1"/>
  <c r="G82" i="1"/>
  <c r="G83" i="1" s="1"/>
  <c r="I83" i="1" s="1"/>
  <c r="S21" i="1"/>
  <c r="B141" i="1"/>
  <c r="A66" i="1"/>
  <c r="B5" i="5" s="1"/>
  <c r="H118" i="1"/>
  <c r="H124" i="1"/>
  <c r="H130" i="1"/>
  <c r="H98" i="1"/>
  <c r="H104" i="1"/>
  <c r="H112" i="1"/>
  <c r="H115" i="1"/>
  <c r="H121" i="1"/>
  <c r="H127" i="1"/>
  <c r="H133" i="1"/>
  <c r="H95" i="1"/>
  <c r="H101" i="1"/>
  <c r="H107" i="1"/>
  <c r="K112" i="1"/>
  <c r="M112" i="1" s="1"/>
  <c r="O112" i="1" s="1"/>
  <c r="K115" i="1"/>
  <c r="M115" i="1" s="1"/>
  <c r="O115" i="1" s="1"/>
  <c r="K121" i="1"/>
  <c r="M121" i="1" s="1"/>
  <c r="O121" i="1" s="1"/>
  <c r="K127" i="1"/>
  <c r="M127" i="1" s="1"/>
  <c r="O127" i="1" s="1"/>
  <c r="K133" i="1"/>
  <c r="M133" i="1" s="1"/>
  <c r="O133" i="1" s="1"/>
  <c r="K95" i="1"/>
  <c r="M95" i="1" s="1"/>
  <c r="O95" i="1" s="1"/>
  <c r="K101" i="1"/>
  <c r="M101" i="1" s="1"/>
  <c r="O101" i="1" s="1"/>
  <c r="K107" i="1"/>
  <c r="M107" i="1" s="1"/>
  <c r="O107" i="1" s="1"/>
  <c r="K130" i="1"/>
  <c r="M130" i="1" s="1"/>
  <c r="O130" i="1" s="1"/>
  <c r="K98" i="1"/>
  <c r="M98" i="1" s="1"/>
  <c r="O98" i="1" s="1"/>
  <c r="K104" i="1"/>
  <c r="M104" i="1" s="1"/>
  <c r="O104" i="1" s="1"/>
  <c r="K124" i="1"/>
  <c r="M124" i="1" s="1"/>
  <c r="O124" i="1" s="1"/>
  <c r="K118" i="1"/>
  <c r="M118" i="1" s="1"/>
  <c r="O118" i="1" s="1"/>
  <c r="M105" i="1"/>
  <c r="O105" i="1" s="1"/>
  <c r="M99" i="1"/>
  <c r="O99" i="1" s="1"/>
  <c r="M102" i="1"/>
  <c r="O102" i="1" s="1"/>
  <c r="M93" i="1"/>
  <c r="O93" i="1" s="1"/>
  <c r="M96" i="1"/>
  <c r="O96" i="1" s="1"/>
  <c r="J172" i="1"/>
  <c r="F92" i="1"/>
  <c r="K92" i="1"/>
  <c r="B157" i="1"/>
  <c r="G89" i="1" l="1"/>
  <c r="I89" i="1" s="1"/>
  <c r="I88" i="1"/>
  <c r="G86" i="1"/>
  <c r="I86" i="1" s="1"/>
  <c r="J86" i="1" s="1"/>
  <c r="M86" i="1" s="1"/>
  <c r="J85" i="1"/>
  <c r="M85" i="1" s="1"/>
  <c r="I82" i="1"/>
  <c r="J82" i="1" s="1"/>
  <c r="M82" i="1" s="1"/>
  <c r="J83" i="1"/>
  <c r="M83" i="1" s="1"/>
  <c r="B9" i="5"/>
  <c r="C157" i="1"/>
  <c r="C160" i="1"/>
  <c r="C159" i="1"/>
  <c r="M92" i="1"/>
  <c r="O92" i="1" s="1"/>
  <c r="J88" i="1" l="1"/>
  <c r="M88" i="1" s="1"/>
  <c r="J89" i="1"/>
  <c r="M89" i="1" s="1"/>
  <c r="I67" i="1"/>
  <c r="J67" i="1" s="1"/>
  <c r="G68" i="1"/>
  <c r="I68" i="1" s="1"/>
  <c r="J68" i="1" s="1"/>
  <c r="M67" i="1" l="1"/>
  <c r="M68" i="1"/>
</calcChain>
</file>

<file path=xl/sharedStrings.xml><?xml version="1.0" encoding="utf-8"?>
<sst xmlns="http://schemas.openxmlformats.org/spreadsheetml/2006/main" count="818" uniqueCount="399">
  <si>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</si>
  <si>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</si>
  <si>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</si>
  <si>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</si>
  <si>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</si>
  <si>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</si>
  <si>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</si>
  <si>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</si>
  <si>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</si>
  <si>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</si>
  <si>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</si>
  <si>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</si>
  <si>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</si>
  <si>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</si>
  <si>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</si>
  <si>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</si>
  <si>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</si>
  <si>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</si>
  <si>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</si>
  <si>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</si>
  <si>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</si>
  <si>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</si>
  <si>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</si>
  <si>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</si>
  <si>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</si>
  <si>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</si>
  <si>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</si>
  <si>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</si>
  <si>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</si>
  <si>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</si>
  <si>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</si>
  <si>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</si>
  <si>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</si>
  <si>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</si>
  <si>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</si>
  <si>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</si>
  <si>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>WHITE</t>
  </si>
  <si>
    <t>BLACK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</si>
  <si>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</si>
  <si>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</si>
  <si>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</si>
  <si>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</si>
  <si>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</si>
  <si>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</si>
  <si>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</si>
  <si>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</si>
  <si>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</si>
  <si>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</si>
  <si>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</si>
  <si>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</si>
  <si>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</si>
  <si>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</si>
  <si>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</si>
  <si>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</si>
  <si>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</si>
  <si>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</si>
  <si>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</si>
  <si>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</si>
  <si>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</si>
  <si>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</si>
  <si>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</si>
  <si>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</si>
  <si>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</si>
  <si>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</si>
  <si>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</si>
  <si>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</si>
  <si>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</si>
  <si>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</si>
  <si>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</si>
  <si>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</si>
  <si>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</si>
  <si>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</si>
  <si>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</si>
  <si>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</si>
  <si>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</si>
  <si>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CLEAR</t>
  </si>
  <si>
    <t xml:space="preserve">TẤM LÓT 58X38CM </t>
  </si>
  <si>
    <t>100% COTTON</t>
  </si>
  <si>
    <t>VẢI CHÍNH</t>
  </si>
  <si>
    <t>GRAND TOTAL:</t>
  </si>
  <si>
    <t>DUYỆT THEO MẪU PHOTOSHOOT TRƯỚC WASH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</si>
  <si>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</si>
  <si>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</si>
  <si>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</si>
  <si>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</si>
  <si>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</si>
  <si>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</si>
  <si>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SET</t>
  </si>
  <si>
    <t>THÙNG CARTON BOX 60X40X30CM</t>
  </si>
  <si>
    <t>HÌNH ẢNH MINH HỌA</t>
  </si>
  <si>
    <t>- BỎ VÀO ÁO KHI GẤP XẾP</t>
  </si>
  <si>
    <t>- KÍCH THƯỚC 40X51CM+5CM, KHÔNG LOGO
- THAM KHẢO TRONG QUY CÁCH ĐÓNG GÓI HÀNG</t>
  </si>
  <si>
    <t>KHÔNG THÊU</t>
  </si>
  <si>
    <t xml:space="preserve">CM20 1X1RIB  100% COTTON 260GSM </t>
  </si>
  <si>
    <t>BO CỔ</t>
  </si>
  <si>
    <t>Season</t>
  </si>
  <si>
    <t>XXS</t>
  </si>
  <si>
    <t>3XL</t>
  </si>
  <si>
    <t>DUYỆT HÌNH IN THEO</t>
  </si>
  <si>
    <t>OVO</t>
  </si>
  <si>
    <t>2XL</t>
  </si>
  <si>
    <t>CM20 1x1Rib 100% Cotton 260gsm</t>
  </si>
  <si>
    <t>CHỈ TEX 40 MAY CHÍNH + VẮT SỔ</t>
  </si>
  <si>
    <t>NHÃN XUẤT XỨ (MADE IN VIET NAM)
LT138_TEAR-AWAY COO TAB_OVOF21_217_T</t>
  </si>
  <si>
    <t>STICKER OVO (ST101_UPC BARCODE STICKER)</t>
  </si>
  <si>
    <t>GÓI CHỐNG ẨM (SILICAGEL)</t>
  </si>
  <si>
    <t>GIẤY CHỐNG ẨM A4 (TISSUE PAPER)</t>
  </si>
  <si>
    <t>BAO NYLON 40X51CM (PK101 POLY BAG)</t>
  </si>
  <si>
    <t>BAO NYLON 100X120CM</t>
  </si>
  <si>
    <t>ĐỊNH VỊ HÌNH IN TẠI THÂN SAU</t>
  </si>
  <si>
    <r>
      <t>IN :</t>
    </r>
    <r>
      <rPr>
        <b/>
        <sz val="30"/>
        <rFont val="Muli"/>
      </rPr>
      <t xml:space="preserve"> </t>
    </r>
  </si>
  <si>
    <r>
      <t>THÊU :</t>
    </r>
    <r>
      <rPr>
        <b/>
        <sz val="30"/>
        <rFont val="Muli"/>
      </rPr>
      <t xml:space="preserve"> </t>
    </r>
  </si>
  <si>
    <r>
      <t>WASH:</t>
    </r>
    <r>
      <rPr>
        <sz val="30"/>
        <rFont val="Muli"/>
      </rPr>
      <t xml:space="preserve"> </t>
    </r>
  </si>
  <si>
    <t>- MAY TẠI SƯỜN TRÁI NGƯỜI MẶC
- TỪ ĐƯỜNG MAY LAI TRONG LÊN MÉP DƯỚI NHÃN 2"</t>
  </si>
  <si>
    <t>BỎ VÀO ÁO KHI GẤP XẾP</t>
  </si>
  <si>
    <t>THÙNG CARTON BOX 60X40X30CM + TẤM LÓT + BAO 100X120CM</t>
  </si>
  <si>
    <t>DÙNG THÙNG CỦA UA</t>
  </si>
  <si>
    <t>WHITE OVO STANDARD</t>
  </si>
  <si>
    <t>TAPE DỆT 1/8"</t>
  </si>
  <si>
    <t>- GẬP ĐÔI VÀ  GẮN TẠI BÊN TRONG CHÍNH GIỮA CỔ SAU</t>
  </si>
  <si>
    <t>- GẮN TẠI VIỀN CỔ TRONG, BÊN TRÁI NGƯỜI MẶC
-CÁCH NHÃN SIZE 1/4"</t>
  </si>
  <si>
    <t>- GẮN TẠI VIỀN CỔ TRONG, BÊN TRÁI NGƯỜI MẶC
-CÁCH NHÃN CHÍNH 1/4"</t>
  </si>
  <si>
    <t>- GẬP ĐÔI GẮN Ở ĐƯỜNG MAY VAI NHƯ HÌNH
- CÁCH ĐỈNH VAI 2 INCHES, BÊN TRÁI NGƯỜI MẶC</t>
  </si>
  <si>
    <t>DÀI THÂN SAU TỪ ĐỈNH VAI</t>
  </si>
  <si>
    <t>RỘNG CỔ (ĐƯỜNG MAY ĐẾN ĐƯỜNG MAY)</t>
  </si>
  <si>
    <t>HẠ CỔ TRƯỚC TỪ ĐỈNH VAI</t>
  </si>
  <si>
    <t>HẠ CỔ SAU TỪ ĐỈNH VAI</t>
  </si>
  <si>
    <t>TO BẢN RIB CỔ</t>
  </si>
  <si>
    <t xml:space="preserve">XUÔI VAI </t>
  </si>
  <si>
    <t>CHỜM VAI VỀ THÂN TRƯỚC</t>
  </si>
  <si>
    <t>RỘNG VAI ĐO THÂN SAU</t>
  </si>
  <si>
    <t>NGANG NGỰC TẠI GIỮA NÁCH</t>
  </si>
  <si>
    <t>NGANG THÂN SAU ĐO TẠI GIỮA NÁCH</t>
  </si>
  <si>
    <t>NGỰC 1" DƯỚI NÁCH</t>
  </si>
  <si>
    <t>VÒNG LAI ĐO MÉP TRONG</t>
  </si>
  <si>
    <t>NÁCH ĐO THẲNG</t>
  </si>
  <si>
    <t>DÀI TAY ĐO 3 ĐIỂM- TỪ GIỮA CỔ SAU</t>
  </si>
  <si>
    <t>CỬA TAY - ĐO MÉP TRONG</t>
  </si>
  <si>
    <t>TO BẢN VIỀN CỔ</t>
  </si>
  <si>
    <t>TO BẢN DIỄU LAI ÁO</t>
  </si>
  <si>
    <t>TO BẢN DIỄU LAI TAY</t>
  </si>
  <si>
    <t>GIÃN CỔ TỐI THIỂU</t>
  </si>
  <si>
    <t xml:space="preserve">29 </t>
  </si>
  <si>
    <t>4 1/4</t>
  </si>
  <si>
    <t>3/4</t>
  </si>
  <si>
    <t>1/2</t>
  </si>
  <si>
    <t>19 1/4</t>
  </si>
  <si>
    <t>17 1/2</t>
  </si>
  <si>
    <t xml:space="preserve">18 </t>
  </si>
  <si>
    <t>22 1/2</t>
  </si>
  <si>
    <t>21 3/4</t>
  </si>
  <si>
    <t>9 5/8</t>
  </si>
  <si>
    <t>18 1/2</t>
  </si>
  <si>
    <t>3/8</t>
  </si>
  <si>
    <t xml:space="preserve">24 </t>
  </si>
  <si>
    <t>- CANH GIỮA THÂN SAU
- TỪ ĐƯỜNG TRA CỔ SAU ĐẾN ĐỈNH HÌNH IN, CHO TẤT CẢ SIZE : 4.5"</t>
  </si>
  <si>
    <t>-GỒM 2PCS
1. 1PCS DÁN LÊN MẶT TRONG CỦA THẺ BÀI
2. 1PCS STICKER DÁN LÊN BAO</t>
  </si>
  <si>
    <t>- THẺ BÀI ĐÃ XỎ SẴN DÂY TREO
- TREO VÀO DÂY ĐÍNH Ở BÊN TRONG VAI NHƯ HÌNH BÊN</t>
  </si>
  <si>
    <t>NHÃN CHÍNH LT251 KHÔNG SIZE (LBOVO151)</t>
  </si>
  <si>
    <t>NHÃN SIZE LT246 (OVOW23_181_T)</t>
  </si>
  <si>
    <t>NHÃN THÀNH PHẦN 100% COTTON LT110_CC LABEL</t>
  </si>
  <si>
    <t>THẺ BÀI Booklet OVO MÀU ĐEN (HTOVO141A)</t>
  </si>
  <si>
    <t>All Measurements are in Inches</t>
  </si>
  <si>
    <t>Article Code</t>
  </si>
  <si>
    <t>Product Group</t>
  </si>
  <si>
    <t>TOP</t>
  </si>
  <si>
    <t>Article Name</t>
  </si>
  <si>
    <t>Product Sub-</t>
  </si>
  <si>
    <t>T-SHIRT</t>
  </si>
  <si>
    <t>Created On</t>
  </si>
  <si>
    <t>Last Modified</t>
  </si>
  <si>
    <t>Life Cycle Stage</t>
  </si>
  <si>
    <t>POM</t>
  </si>
  <si>
    <t>Description</t>
  </si>
  <si>
    <t>+ Tol</t>
  </si>
  <si>
    <t>- Tol</t>
  </si>
  <si>
    <t>Grade</t>
  </si>
  <si>
    <t>Back body length from HPS : Top</t>
  </si>
  <si>
    <t>NA</t>
  </si>
  <si>
    <t>27 1/2</t>
  </si>
  <si>
    <t xml:space="preserve">28 </t>
  </si>
  <si>
    <t>28 1/2</t>
  </si>
  <si>
    <t>29 1/2</t>
  </si>
  <si>
    <t>30 1/2</t>
  </si>
  <si>
    <t>31 1/2</t>
  </si>
  <si>
    <t>32 1/2</t>
  </si>
  <si>
    <t>Neck width :: SEAM TO SEAM</t>
  </si>
  <si>
    <t>1/4</t>
  </si>
  <si>
    <t>6 1/2</t>
  </si>
  <si>
    <t>6 3/4</t>
  </si>
  <si>
    <t>7 1/4</t>
  </si>
  <si>
    <t>7 1/2</t>
  </si>
  <si>
    <t>7 3/4</t>
  </si>
  <si>
    <t>Front neck drop from HPS : Crew</t>
  </si>
  <si>
    <t>1/8</t>
  </si>
  <si>
    <t>4 1/8</t>
  </si>
  <si>
    <t>4 3/16</t>
  </si>
  <si>
    <t>4 5/16</t>
  </si>
  <si>
    <t>4 7/16</t>
  </si>
  <si>
    <t>4 9/16</t>
  </si>
  <si>
    <t>4 11/16</t>
  </si>
  <si>
    <t>Back neck drop from HPS Crew</t>
  </si>
  <si>
    <t>7/8</t>
  </si>
  <si>
    <t>15/16</t>
  </si>
  <si>
    <t>1 1/16</t>
  </si>
  <si>
    <t>1 3/16</t>
  </si>
  <si>
    <t>1 5/16</t>
  </si>
  <si>
    <t>1 7/16</t>
  </si>
  <si>
    <t>Neckband width</t>
  </si>
  <si>
    <t>Shoulder slope :: from HPS</t>
  </si>
  <si>
    <t>1 7/8</t>
  </si>
  <si>
    <t>1 15/16</t>
  </si>
  <si>
    <t>2 1/16</t>
  </si>
  <si>
    <t>2 1/8</t>
  </si>
  <si>
    <t>2 3/16</t>
  </si>
  <si>
    <t>Shoulder displacement to front</t>
  </si>
  <si>
    <t>Shoulder width :measured on CB body</t>
  </si>
  <si>
    <t xml:space="preserve">17 </t>
  </si>
  <si>
    <t>17 3/4</t>
  </si>
  <si>
    <t xml:space="preserve">20 </t>
  </si>
  <si>
    <t xml:space="preserve">21 </t>
  </si>
  <si>
    <t xml:space="preserve">22 </t>
  </si>
  <si>
    <t xml:space="preserve">23 </t>
  </si>
  <si>
    <t>15 1/4</t>
  </si>
  <si>
    <t xml:space="preserve">16 </t>
  </si>
  <si>
    <t>16 3/4</t>
  </si>
  <si>
    <t>18 1/4</t>
  </si>
  <si>
    <t>20 1/4</t>
  </si>
  <si>
    <t>21 1/4</t>
  </si>
  <si>
    <t>Across Back : at mid. armhole</t>
  </si>
  <si>
    <t>15 3/4</t>
  </si>
  <si>
    <t>16 1/2</t>
  </si>
  <si>
    <t>17 1/4</t>
  </si>
  <si>
    <t>18 3/4</t>
  </si>
  <si>
    <t>19 3/4</t>
  </si>
  <si>
    <t>20 3/4</t>
  </si>
  <si>
    <t>Chest width :1" below armhole</t>
  </si>
  <si>
    <t>19 1/2</t>
  </si>
  <si>
    <t>20 1/2</t>
  </si>
  <si>
    <t>21 1/2</t>
  </si>
  <si>
    <t>23 1/2</t>
  </si>
  <si>
    <t xml:space="preserve">25 </t>
  </si>
  <si>
    <t>26 1/2</t>
  </si>
  <si>
    <t>Bottom width at band:inside fold edges of band/hem</t>
  </si>
  <si>
    <t>22 3/4</t>
  </si>
  <si>
    <t>24 1/4</t>
  </si>
  <si>
    <t>25 3/4</t>
  </si>
  <si>
    <t>27 1/4</t>
  </si>
  <si>
    <t>Armhole Straight :: measured straight</t>
  </si>
  <si>
    <t>8 1/2</t>
  </si>
  <si>
    <t>8 7/8</t>
  </si>
  <si>
    <t>9 1/4</t>
  </si>
  <si>
    <t xml:space="preserve">10 </t>
  </si>
  <si>
    <t>10 1/2</t>
  </si>
  <si>
    <t>11 1/2</t>
  </si>
  <si>
    <t>8 13/16</t>
  </si>
  <si>
    <t>Neck binding width</t>
  </si>
  <si>
    <t>Body hem depth</t>
  </si>
  <si>
    <t>Minimum Neck Stretch</t>
  </si>
  <si>
    <t>OPEN AIR</t>
  </si>
  <si>
    <t>SAND</t>
  </si>
  <si>
    <t>OVSS24P0371005T00K
0315/9 : CẤP TRIỆT TIÊU (CHO 2 MÃ STS64 + 67)</t>
  </si>
  <si>
    <t>OVSS24P0371006T00K
0315/9 : CẤP TRIỆT TIÊU (CHO 2 MÃ STS64 + 67)</t>
  </si>
  <si>
    <t>DUYỆT THEO ÁO MẪU PP DỰ KIẾN CHUYỂN PHÒNG IN 7-NOV-23</t>
  </si>
  <si>
    <r>
      <t xml:space="preserve">OVSS24P0371009T00K
</t>
    </r>
    <r>
      <rPr>
        <b/>
        <sz val="22"/>
        <color theme="1"/>
        <rFont val="Muli"/>
      </rPr>
      <t>0309/10 : CẤP ĐỦ SỐ LƯỢNG</t>
    </r>
  </si>
  <si>
    <r>
      <t xml:space="preserve">OVSS24P0371010T00K
</t>
    </r>
    <r>
      <rPr>
        <b/>
        <sz val="22"/>
        <color theme="1"/>
        <rFont val="Muli"/>
      </rPr>
      <t>0309/10 : CẤP ĐỦ SỐ LƯỢNG</t>
    </r>
  </si>
  <si>
    <t>ĐỊNH VỊ HÌNH IN</t>
  </si>
  <si>
    <t>M-0124-KT-4419-OA</t>
  </si>
  <si>
    <t>M-0124-KT-4419-SD</t>
  </si>
  <si>
    <t>DỰ KIẾN TÁC NGHIỆP SẢN XUẤT 31/10/23</t>
  </si>
  <si>
    <t>SHIPPING SAMPLE REQUIRED</t>
  </si>
  <si>
    <t>PHIẾU CẤP</t>
  </si>
  <si>
    <t>THEO TÀI LIỆU</t>
  </si>
  <si>
    <t>TAPE DỆT 5MM</t>
  </si>
  <si>
    <t>BO CỔ/ BO TAY</t>
  </si>
  <si>
    <t>Measurement Sheet - LS Relax Tee - OVO</t>
  </si>
  <si>
    <t>Acrss: Chest : at mid. armhole</t>
  </si>
  <si>
    <t>Bicep width:1" below armhole</t>
  </si>
  <si>
    <t>8 1/4</t>
  </si>
  <si>
    <t>9 1/8</t>
  </si>
  <si>
    <t>9 7/16</t>
  </si>
  <si>
    <t>L:Sleeve overarm fr. CB neck :: 3 x point measure</t>
  </si>
  <si>
    <t>32 3/4</t>
  </si>
  <si>
    <t>33 1/2</t>
  </si>
  <si>
    <t>34 1/4</t>
  </si>
  <si>
    <t xml:space="preserve">35 </t>
  </si>
  <si>
    <t>35 3/4</t>
  </si>
  <si>
    <t>36 3/4</t>
  </si>
  <si>
    <t>37 3/4</t>
  </si>
  <si>
    <t>38 3/4</t>
  </si>
  <si>
    <t>L/Sleeve :: 1" above cuff seam</t>
  </si>
  <si>
    <t>4 3/8</t>
  </si>
  <si>
    <t>4 3/4</t>
  </si>
  <si>
    <t>4 15/16</t>
  </si>
  <si>
    <t>5 3/16</t>
  </si>
  <si>
    <t>5 7/16</t>
  </si>
  <si>
    <t>5 11/16</t>
  </si>
  <si>
    <t>L/Sleeve opening: inside fold edges of cuff/hem</t>
  </si>
  <si>
    <t>3 3/16</t>
  </si>
  <si>
    <t>3 3/8</t>
  </si>
  <si>
    <t>3 9/16</t>
  </si>
  <si>
    <t>3 3/4</t>
  </si>
  <si>
    <t>3 15/16</t>
  </si>
  <si>
    <t>Sleeve Cuff Band Height</t>
  </si>
  <si>
    <t>OVLTS206</t>
  </si>
  <si>
    <t>M-0324-KT-5374</t>
  </si>
  <si>
    <t>Single jersey 20's 190gsm- SOFT HAND FEEL</t>
  </si>
  <si>
    <t>OGRANGE</t>
  </si>
  <si>
    <t>PFD</t>
  </si>
  <si>
    <t xml:space="preserve">LƯU Ý: </t>
  </si>
  <si>
    <t>CANH GIỮA SÓNG TAY
CANH ĐỀU TRÊN DƯỚI, TRÁI PHẢI</t>
  </si>
  <si>
    <t>DIỆU CAO - 405</t>
  </si>
  <si>
    <t>GRAPHIC 3</t>
  </si>
  <si>
    <t>LS TEE</t>
  </si>
  <si>
    <t>CHẤT LƯỢNG VÀ MÀU SẮC</t>
  </si>
  <si>
    <t>ĐỊNH VỊ HÌNH IN TẠI 2 TAY</t>
  </si>
  <si>
    <t>KÍCH THƯỚC HÌNH IN 2 TAY</t>
  </si>
  <si>
    <t>W: 17'' X H: 4.9''</t>
  </si>
  <si>
    <t>KHÔNG WASH</t>
  </si>
  <si>
    <t>TÁC NGHIỆP SẢN XUẤT:
THAM KHẢO CÁCH MAY ÁO MẪU PP MÃ OVLTS206 MÀU BLACK CHUYỂN CÙNG TÁC NGHIỆP</t>
  </si>
  <si>
    <t>PUFFINS BILL</t>
  </si>
  <si>
    <t>CAMO</t>
  </si>
  <si>
    <t>OVFW24P0458001T00K
LOT 0850/3
ÁNH A CẤP ĐỦ SL</t>
  </si>
  <si>
    <t>OVFW24P0458002T00K
#LOT 0850/3
ÁNH A CẤP TRIỆT TIÊU 13M
OVFW24P0456002T00K
#LOT 0855/3
ÁNH A CẤP 9M</t>
  </si>
  <si>
    <t>ORANGE</t>
  </si>
  <si>
    <t>IN BTP TẠI 2 TAY + THÂN SAU - IN TẠI UA</t>
  </si>
  <si>
    <t>KÍCH THƯỚC HÌNH IN TẠI THÂN SAU</t>
  </si>
  <si>
    <t>1.22” W x 1.5” H</t>
  </si>
  <si>
    <t xml:space="preserve">CÁCH ĐƯỜNG TRA CỔ 1.5''
CĂN GIỮA BẰNG CÁCH DÙNG TAI TRÁI CỦA CON CÚ LÀM TÂM ĐIỂM NHƯ ĐƯỜNG KẺ NÉT ĐỨT MÀU XANH </t>
  </si>
  <si>
    <t>DUYỆT MÀU SẮC, CHẤT LƯỢNG HÌNH IN THEO S/O MÃ OVLTS206 MÀU BLACK CHUYỂN CHO NHÀ IN, DỰ KIẾN 15/7</t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</si>
  <si>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A101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</si>
  <si>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H101</t>
    </r>
  </si>
  <si>
    <r>
      <rPr>
        <b/>
        <sz val="8"/>
        <color rgb="FF008000"/>
        <rFont val="Tahoma"/>
        <family val="2"/>
      </rPr>
      <t>!</t>
    </r>
    <r>
      <rPr>
        <b/>
        <sz val="8"/>
        <color rgb="FF008000"/>
        <rFont val="Arial Narrow"/>
        <family val="2"/>
      </rPr>
      <t xml:space="preserve"> </t>
    </r>
    <r>
      <rPr>
        <sz val="8"/>
        <rFont val="Arial Narrow"/>
        <family val="2"/>
      </rPr>
      <t>H201</t>
    </r>
  </si>
  <si>
    <r>
      <rPr>
        <sz val="8"/>
        <rFont val="Arial Narrow"/>
        <family val="2"/>
      </rPr>
      <t>H301</t>
    </r>
  </si>
  <si>
    <r>
      <rPr>
        <b/>
        <sz val="8"/>
        <color rgb="FF008000"/>
        <rFont val="Tahoma"/>
        <family val="2"/>
      </rPr>
      <t>!</t>
    </r>
    <r>
      <rPr>
        <b/>
        <sz val="8"/>
        <color rgb="FF008000"/>
        <rFont val="Arial Narrow"/>
        <family val="2"/>
      </rPr>
      <t xml:space="preserve"> </t>
    </r>
    <r>
      <rPr>
        <sz val="8"/>
        <rFont val="Arial Narrow"/>
        <family val="2"/>
      </rPr>
      <t>H605</t>
    </r>
  </si>
  <si>
    <r>
      <rPr>
        <b/>
        <sz val="8"/>
        <color rgb="FF008000"/>
        <rFont val="Tahoma"/>
        <family val="2"/>
      </rPr>
      <t>!</t>
    </r>
    <r>
      <rPr>
        <b/>
        <sz val="8"/>
        <color rgb="FF008000"/>
        <rFont val="Arial Narrow"/>
        <family val="2"/>
      </rPr>
      <t xml:space="preserve"> </t>
    </r>
    <r>
      <rPr>
        <sz val="8"/>
        <rFont val="Arial Narrow"/>
        <family val="2"/>
      </rPr>
      <t>D102</t>
    </r>
  </si>
  <si>
    <r>
      <rPr>
        <sz val="8"/>
        <rFont val="Arial Narrow"/>
        <family val="2"/>
      </rPr>
      <t>D103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</si>
  <si>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D101</t>
    </r>
  </si>
  <si>
    <r>
      <rPr>
        <b/>
        <sz val="8"/>
        <color rgb="FF008000"/>
        <rFont val="Tahoma"/>
        <family val="2"/>
      </rPr>
      <t>!</t>
    </r>
    <r>
      <rPr>
        <b/>
        <sz val="8"/>
        <color rgb="FF008000"/>
        <rFont val="Arial Narrow"/>
        <family val="2"/>
      </rPr>
      <t xml:space="preserve"> </t>
    </r>
    <r>
      <rPr>
        <sz val="8"/>
        <rFont val="Arial Narrow"/>
        <family val="2"/>
      </rPr>
      <t>B301</t>
    </r>
  </si>
  <si>
    <r>
      <rPr>
        <b/>
        <sz val="8"/>
        <color rgb="FF008000"/>
        <rFont val="Tahoma"/>
        <family val="2"/>
      </rPr>
      <t>!</t>
    </r>
    <r>
      <rPr>
        <b/>
        <sz val="8"/>
        <color rgb="FF008000"/>
        <rFont val="Arial Narrow"/>
        <family val="2"/>
      </rPr>
      <t xml:space="preserve"> </t>
    </r>
    <r>
      <rPr>
        <sz val="8"/>
        <rFont val="Arial Narrow"/>
        <family val="2"/>
      </rPr>
      <t>B201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</si>
  <si>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B101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</si>
  <si>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C101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</si>
  <si>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E101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</si>
  <si>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G101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</si>
  <si>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F101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</si>
  <si>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G103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</si>
  <si>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G104</t>
    </r>
  </si>
  <si>
    <r>
      <rPr>
        <sz val="8"/>
        <rFont val="Arial Narrow"/>
        <family val="2"/>
      </rPr>
      <t>H606</t>
    </r>
  </si>
  <si>
    <r>
      <rPr>
        <sz val="8"/>
        <rFont val="Arial Narrow"/>
        <family val="2"/>
      </rPr>
      <t>A701</t>
    </r>
  </si>
  <si>
    <r>
      <rPr>
        <sz val="8"/>
        <rFont val="Arial Narrow"/>
        <family val="2"/>
      </rPr>
      <t>F701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</si>
  <si>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H404</t>
    </r>
  </si>
  <si>
    <r>
      <rPr>
        <b/>
        <sz val="8"/>
        <rFont val="Tahoma"/>
        <family val="2"/>
      </rPr>
      <t>Comments</t>
    </r>
  </si>
  <si>
    <r>
      <rPr>
        <sz val="8"/>
        <rFont val="Tahoma"/>
        <family val="2"/>
      </rPr>
      <t xml:space="preserve">REFERENCE: Q1 2021 UPDATED GRAPHIC TEE L=M
</t>
    </r>
    <r>
      <rPr>
        <sz val="8"/>
        <rFont val="Tahoma"/>
        <family val="2"/>
      </rPr>
      <t>- body length shorten to 29" 10/18/21 - increase neck width, front &amp; back neck drops 11/17/21</t>
    </r>
  </si>
  <si>
    <t>SCRIPT GRAPHIC LS TSHIRT</t>
  </si>
  <si>
    <t>04/09/24 10:24:02 AM</t>
  </si>
  <si>
    <t>Material Description</t>
  </si>
  <si>
    <t>2024 Fall</t>
  </si>
  <si>
    <t>07/05/24 9:20:54 AM</t>
  </si>
  <si>
    <t>Pre-Production</t>
  </si>
  <si>
    <r>
      <rPr>
        <sz val="9"/>
        <rFont val="Lucida Console"/>
        <family val="3"/>
      </rPr>
      <t>UA - 100% COTTON JERSEY, 190GSM (FB-K508) REF# BDSS22P0921018T00D
SINGLE JERSEY 20s</t>
    </r>
  </si>
  <si>
    <r>
      <rPr>
        <b/>
        <sz val="10"/>
        <color rgb="FFFF0000"/>
        <rFont val="Tahoma"/>
        <family val="2"/>
      </rPr>
      <t>M</t>
    </r>
  </si>
  <si>
    <t>RỘNG BẮP TAY 1'' DƯỚI VÒNG NÁCH</t>
  </si>
  <si>
    <t>DÀI TAY1'' TRÊN ĐƯỜNG MAY BO</t>
  </si>
  <si>
    <t>177CM</t>
  </si>
  <si>
    <t>O08-0541</t>
  </si>
  <si>
    <t>O08-0545</t>
  </si>
  <si>
    <t>O08-0547</t>
  </si>
  <si>
    <t>O08-0546</t>
  </si>
  <si>
    <t>O08-0548</t>
  </si>
  <si>
    <t>O08-0540</t>
  </si>
  <si>
    <t>O08-0594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</si>
  <si>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</si>
  <si>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</si>
  <si>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</si>
  <si>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</si>
  <si>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</si>
  <si>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</si>
  <si>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</si>
  <si>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</si>
  <si>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</si>
  <si>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</si>
  <si>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</si>
  <si>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</si>
  <si>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</si>
  <si>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</si>
  <si>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MÀU BLACK ĐÃ NHẬP KHO</t>
  </si>
  <si>
    <t>Technical Garment Construction</t>
  </si>
  <si>
    <t>CÁCH MAY + GẮN NHÃN NHƯ GHI CHÚ TRONG TÁC NGHIỆP, THAM KHẢO ÁO PP ĐÃ DUYỆT</t>
  </si>
  <si>
    <t>Printting</t>
  </si>
  <si>
    <t>Outsource</t>
  </si>
  <si>
    <t>Washing</t>
  </si>
  <si>
    <t>QA/QC
(CFA)</t>
  </si>
  <si>
    <t>LƯU Ý: KHÔNG ỦI LÊN HÌNH IN / VỆ SINH CÔNG NGHIỆP SẠCH SẼ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</si>
  <si>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</si>
  <si>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</si>
  <si>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O08  FW24  G2651</t>
  </si>
  <si>
    <t>FW24 PRODUCTION</t>
  </si>
  <si>
    <t>SCRIPT LONG SLEEVE T-SHIRT</t>
  </si>
  <si>
    <t xml:space="preserve">                              LOT 0850/3                                                                               LOT 0855/3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</si>
</sst>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###0;###0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sz val="30"/>
      <name val="Muli"/>
    </font>
    <font>
      <b/>
      <u/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2"/>
      <color theme="1"/>
      <name val="Muli"/>
    </font>
    <font>
      <b/>
      <sz val="48"/>
      <color theme="1"/>
      <name val="Muli"/>
    </font>
    <font>
      <b/>
      <sz val="12"/>
      <color theme="1"/>
      <name val="Calibri"/>
      <family val="2"/>
      <scheme val="minor"/>
    </font>
    <font>
      <b/>
      <sz val="8"/>
      <name val="Tahoma"/>
      <family val="2"/>
    </font>
    <font>
      <sz val="8"/>
      <name val="Tahoma"/>
      <family val="2"/>
    </font>
    <font>
      <b/>
      <sz val="8"/>
      <color rgb="FFFF3333"/>
      <name val="Tahoma"/>
      <family val="2"/>
    </font>
    <font>
      <b/>
      <sz val="8"/>
      <color rgb="FFFF3333"/>
      <name val="Arial Narrow"/>
      <family val="2"/>
    </font>
    <font>
      <sz val="8"/>
      <name val="Arial Narrow"/>
      <family val="2"/>
    </font>
    <font>
      <b/>
      <sz val="8"/>
      <color rgb="FF008000"/>
      <name val="Tahoma"/>
      <family val="2"/>
    </font>
    <font>
      <b/>
      <sz val="8"/>
      <color rgb="FF008000"/>
      <name val="Arial Narrow"/>
      <family val="2"/>
    </font>
    <font>
      <b/>
      <sz val="9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b/>
      <sz val="10"/>
      <name val="Tahoma"/>
      <family val="2"/>
    </font>
    <font>
      <sz val="9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  <font>
      <sz val="9"/>
      <name val="Lucida Console"/>
      <family val="3"/>
    </font>
    <font>
      <b/>
      <sz val="10"/>
      <color rgb="FFFF0000"/>
      <name val="Tahoma"/>
      <family val="2"/>
    </font>
    <font>
      <sz val="9"/>
      <name val="Aptos"/>
      <family val="2"/>
    </font>
    <font>
      <sz val="11"/>
      <name val="Arial Narrow"/>
      <family val="2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EFFFEF"/>
      </patternFill>
    </fill>
    <fill>
      <patternFill patternType="solid">
        <fgColor theme="5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36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6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9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6" applyNumberFormat="0" applyProtection="0">
      <alignment horizontal="right" vertical="center"/>
    </xf>
    <xf numFmtId="0" fontId="2" fillId="8" borderId="1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47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5" applyNumberFormat="0" applyProtection="0">
      <alignment horizontal="left" vertical="center" indent="1"/>
    </xf>
    <xf numFmtId="4" fontId="13" fillId="7" borderId="35" applyNumberFormat="0" applyProtection="0">
      <alignment horizontal="right" vertical="center"/>
    </xf>
    <xf numFmtId="10" fontId="6" fillId="6" borderId="33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0" borderId="0" applyNumberFormat="0" applyFill="0" applyBorder="0" applyAlignment="0" applyProtection="0"/>
    <xf numFmtId="0" fontId="51" fillId="0" borderId="36" applyNumberFormat="0" applyFill="0" applyAlignment="0" applyProtection="0"/>
    <xf numFmtId="0" fontId="52" fillId="0" borderId="37" applyNumberFormat="0" applyFill="0" applyAlignment="0" applyProtection="0"/>
    <xf numFmtId="0" fontId="53" fillId="0" borderId="38" applyNumberFormat="0" applyFill="0" applyAlignment="0" applyProtection="0"/>
    <xf numFmtId="0" fontId="53" fillId="0" borderId="0" applyNumberFormat="0" applyFill="0" applyBorder="0" applyAlignment="0" applyProtection="0"/>
    <xf numFmtId="0" fontId="54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8" borderId="0" applyNumberFormat="0" applyBorder="0" applyAlignment="0" applyProtection="0"/>
    <xf numFmtId="0" fontId="57" fillId="19" borderId="39" applyNumberFormat="0" applyAlignment="0" applyProtection="0"/>
    <xf numFmtId="0" fontId="58" fillId="20" borderId="40" applyNumberFormat="0" applyAlignment="0" applyProtection="0"/>
    <xf numFmtId="0" fontId="59" fillId="20" borderId="39" applyNumberFormat="0" applyAlignment="0" applyProtection="0"/>
    <xf numFmtId="0" fontId="60" fillId="0" borderId="41" applyNumberFormat="0" applyFill="0" applyAlignment="0" applyProtection="0"/>
    <xf numFmtId="0" fontId="61" fillId="21" borderId="42" applyNumberFormat="0" applyAlignment="0" applyProtection="0"/>
    <xf numFmtId="0" fontId="62" fillId="0" borderId="0" applyNumberFormat="0" applyFill="0" applyBorder="0" applyAlignment="0" applyProtection="0"/>
    <xf numFmtId="0" fontId="1" fillId="22" borderId="43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44" applyNumberFormat="0" applyFill="0" applyAlignment="0" applyProtection="0"/>
    <xf numFmtId="0" fontId="6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6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6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65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5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5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47" fillId="0" borderId="0"/>
    <xf numFmtId="0" fontId="2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71" fillId="0" borderId="0"/>
    <xf numFmtId="9" fontId="1" fillId="0" borderId="0" applyFont="0" applyFill="0" applyBorder="0" applyAlignment="0" applyProtection="0"/>
    <xf numFmtId="0" fontId="2" fillId="0" borderId="0"/>
    <xf numFmtId="0" fontId="74" fillId="0" borderId="0"/>
    <xf numFmtId="0" fontId="76" fillId="0" borderId="0"/>
    <xf numFmtId="0" fontId="76" fillId="0" borderId="0"/>
  </cellStyleXfs>
  <cellXfs count="359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0" fontId="32" fillId="2" borderId="4" xfId="0" applyFont="1" applyFill="1" applyBorder="1" applyAlignment="1">
      <alignment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9" xfId="0" quotePrefix="1" applyFont="1" applyFill="1" applyBorder="1" applyAlignment="1">
      <alignment horizontal="left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20" fillId="2" borderId="28" xfId="0" applyFont="1" applyFill="1" applyBorder="1" applyAlignment="1">
      <alignment vertical="center"/>
    </xf>
    <xf numFmtId="0" fontId="21" fillId="2" borderId="28" xfId="0" applyFont="1" applyFill="1" applyBorder="1" applyAlignment="1">
      <alignment vertical="center" wrapText="1"/>
    </xf>
    <xf numFmtId="0" fontId="20" fillId="2" borderId="29" xfId="0" applyFont="1" applyFill="1" applyBorder="1" applyAlignment="1">
      <alignment vertical="center"/>
    </xf>
    <xf numFmtId="0" fontId="22" fillId="5" borderId="15" xfId="0" applyFont="1" applyFill="1" applyBorder="1" applyAlignment="1">
      <alignment horizontal="center" vertical="center" wrapText="1"/>
    </xf>
    <xf numFmtId="0" fontId="22" fillId="5" borderId="15" xfId="0" applyFont="1" applyFill="1" applyBorder="1" applyAlignment="1">
      <alignment horizontal="center" vertical="center"/>
    </xf>
    <xf numFmtId="0" fontId="22" fillId="5" borderId="13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7" fillId="0" borderId="6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21" fillId="3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33" xfId="0" applyFont="1" applyFill="1" applyBorder="1" applyAlignment="1">
      <alignment horizontal="center" vertical="center"/>
    </xf>
    <xf numFmtId="0" fontId="28" fillId="2" borderId="30" xfId="0" applyFont="1" applyFill="1" applyBorder="1" applyAlignment="1">
      <alignment horizontal="left" vertical="center"/>
    </xf>
    <xf numFmtId="0" fontId="43" fillId="3" borderId="0" xfId="0" applyFont="1" applyFill="1" applyAlignment="1">
      <alignment vertical="center"/>
    </xf>
    <xf numFmtId="12" fontId="27" fillId="0" borderId="10" xfId="0" quotePrefix="1" applyNumberFormat="1" applyFont="1" applyBorder="1" applyAlignment="1">
      <alignment vertical="center" wrapText="1"/>
    </xf>
    <xf numFmtId="12" fontId="27" fillId="0" borderId="33" xfId="0" quotePrefix="1" applyNumberFormat="1" applyFont="1" applyBorder="1" applyAlignment="1">
      <alignment horizontal="center" vertical="center" wrapText="1"/>
    </xf>
    <xf numFmtId="165" fontId="37" fillId="0" borderId="33" xfId="0" applyNumberFormat="1" applyFont="1" applyBorder="1" applyAlignment="1">
      <alignment horizontal="center" vertical="center"/>
    </xf>
    <xf numFmtId="1" fontId="44" fillId="0" borderId="33" xfId="1" applyNumberFormat="1" applyFont="1" applyBorder="1" applyAlignment="1">
      <alignment horizontal="center" vertical="center" wrapText="1"/>
    </xf>
    <xf numFmtId="0" fontId="26" fillId="2" borderId="24" xfId="0" quotePrefix="1" applyFont="1" applyFill="1" applyBorder="1" applyAlignment="1">
      <alignment horizontal="center" vertical="center" wrapText="1"/>
    </xf>
    <xf numFmtId="0" fontId="26" fillId="2" borderId="25" xfId="0" quotePrefix="1" applyFont="1" applyFill="1" applyBorder="1" applyAlignment="1">
      <alignment horizontal="center" vertical="center" wrapText="1"/>
    </xf>
    <xf numFmtId="0" fontId="67" fillId="2" borderId="1" xfId="0" applyFont="1" applyFill="1" applyBorder="1" applyAlignment="1">
      <alignment vertical="center"/>
    </xf>
    <xf numFmtId="1" fontId="26" fillId="2" borderId="33" xfId="0" applyNumberFormat="1" applyFont="1" applyFill="1" applyBorder="1" applyAlignment="1">
      <alignment horizontal="center" vertical="center"/>
    </xf>
    <xf numFmtId="4" fontId="37" fillId="2" borderId="33" xfId="0" applyNumberFormat="1" applyFont="1" applyFill="1" applyBorder="1" applyAlignment="1">
      <alignment horizontal="center" vertical="center"/>
    </xf>
    <xf numFmtId="1" fontId="27" fillId="2" borderId="33" xfId="0" applyNumberFormat="1" applyFont="1" applyFill="1" applyBorder="1" applyAlignment="1">
      <alignment horizontal="center" vertical="center"/>
    </xf>
    <xf numFmtId="0" fontId="22" fillId="5" borderId="33" xfId="0" applyFont="1" applyFill="1" applyBorder="1" applyAlignment="1">
      <alignment horizontal="center" vertical="center" wrapText="1"/>
    </xf>
    <xf numFmtId="0" fontId="22" fillId="5" borderId="33" xfId="0" applyFont="1" applyFill="1" applyBorder="1" applyAlignment="1">
      <alignment horizontal="center" vertical="center"/>
    </xf>
    <xf numFmtId="0" fontId="26" fillId="2" borderId="33" xfId="0" applyFont="1" applyFill="1" applyBorder="1" applyAlignment="1">
      <alignment horizontal="center" vertical="center"/>
    </xf>
    <xf numFmtId="165" fontId="26" fillId="2" borderId="33" xfId="0" applyNumberFormat="1" applyFont="1" applyFill="1" applyBorder="1" applyAlignment="1">
      <alignment horizontal="center" vertical="center"/>
    </xf>
    <xf numFmtId="2" fontId="26" fillId="2" borderId="33" xfId="0" applyNumberFormat="1" applyFont="1" applyFill="1" applyBorder="1" applyAlignment="1">
      <alignment horizontal="center" vertical="center"/>
    </xf>
    <xf numFmtId="0" fontId="37" fillId="2" borderId="33" xfId="0" applyFont="1" applyFill="1" applyBorder="1" applyAlignment="1">
      <alignment horizontal="center" vertical="center" wrapText="1"/>
    </xf>
    <xf numFmtId="1" fontId="37" fillId="2" borderId="33" xfId="0" applyNumberFormat="1" applyFont="1" applyFill="1" applyBorder="1" applyAlignment="1">
      <alignment horizontal="center" vertical="center" wrapText="1"/>
    </xf>
    <xf numFmtId="0" fontId="37" fillId="0" borderId="33" xfId="0" applyFont="1" applyBorder="1" applyAlignment="1">
      <alignment horizontal="center" vertical="center"/>
    </xf>
    <xf numFmtId="1" fontId="26" fillId="2" borderId="34" xfId="0" applyNumberFormat="1" applyFont="1" applyFill="1" applyBorder="1" applyAlignment="1">
      <alignment vertical="center" wrapText="1"/>
    </xf>
    <xf numFmtId="0" fontId="26" fillId="2" borderId="31" xfId="0" quotePrefix="1" applyFont="1" applyFill="1" applyBorder="1" applyAlignment="1">
      <alignment vertical="center" wrapText="1"/>
    </xf>
    <xf numFmtId="0" fontId="26" fillId="2" borderId="24" xfId="0" quotePrefix="1" applyFont="1" applyFill="1" applyBorder="1" applyAlignment="1">
      <alignment vertical="center" wrapText="1"/>
    </xf>
    <xf numFmtId="0" fontId="68" fillId="2" borderId="2" xfId="0" applyFont="1" applyFill="1" applyBorder="1" applyAlignment="1">
      <alignment horizontal="center" vertical="center"/>
    </xf>
    <xf numFmtId="0" fontId="69" fillId="3" borderId="0" xfId="0" applyFont="1" applyFill="1" applyAlignment="1">
      <alignment vertical="center"/>
    </xf>
    <xf numFmtId="0" fontId="40" fillId="4" borderId="2" xfId="0" quotePrefix="1" applyFont="1" applyFill="1" applyBorder="1" applyAlignment="1">
      <alignment horizontal="center" vertical="center"/>
    </xf>
    <xf numFmtId="0" fontId="69" fillId="2" borderId="2" xfId="0" applyFont="1" applyFill="1" applyBorder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69" fillId="2" borderId="2" xfId="0" applyFont="1" applyFill="1" applyBorder="1" applyAlignment="1">
      <alignment horizontal="left" vertical="center"/>
    </xf>
    <xf numFmtId="0" fontId="40" fillId="2" borderId="3" xfId="0" applyFont="1" applyFill="1" applyBorder="1" applyAlignment="1">
      <alignment horizontal="left" vertical="center"/>
    </xf>
    <xf numFmtId="0" fontId="40" fillId="2" borderId="3" xfId="0" applyFont="1" applyFill="1" applyBorder="1" applyAlignment="1">
      <alignment vertical="center"/>
    </xf>
    <xf numFmtId="0" fontId="40" fillId="2" borderId="3" xfId="0" applyFont="1" applyFill="1" applyBorder="1" applyAlignment="1">
      <alignment horizontal="center" vertical="center"/>
    </xf>
    <xf numFmtId="3" fontId="40" fillId="2" borderId="3" xfId="0" applyNumberFormat="1" applyFont="1" applyFill="1" applyBorder="1" applyAlignment="1">
      <alignment horizontal="center" vertical="center"/>
    </xf>
    <xf numFmtId="0" fontId="40" fillId="2" borderId="3" xfId="62" applyNumberFormat="1" applyFont="1" applyFill="1" applyBorder="1" applyAlignment="1">
      <alignment horizontal="center" vertical="center"/>
    </xf>
    <xf numFmtId="0" fontId="40" fillId="13" borderId="3" xfId="0" applyFont="1" applyFill="1" applyBorder="1" applyAlignment="1">
      <alignment horizontal="center" vertical="center"/>
    </xf>
    <xf numFmtId="0" fontId="40" fillId="5" borderId="3" xfId="0" applyFont="1" applyFill="1" applyBorder="1" applyAlignment="1">
      <alignment vertical="center"/>
    </xf>
    <xf numFmtId="1" fontId="40" fillId="13" borderId="3" xfId="0" applyNumberFormat="1" applyFont="1" applyFill="1" applyBorder="1" applyAlignment="1">
      <alignment vertical="center"/>
    </xf>
    <xf numFmtId="1" fontId="40" fillId="13" borderId="3" xfId="0" applyNumberFormat="1" applyFont="1" applyFill="1" applyBorder="1" applyAlignment="1">
      <alignment horizontal="center" vertical="center"/>
    </xf>
    <xf numFmtId="0" fontId="40" fillId="5" borderId="2" xfId="0" quotePrefix="1" applyFont="1" applyFill="1" applyBorder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40" fillId="14" borderId="0" xfId="0" applyFont="1" applyFill="1" applyAlignment="1">
      <alignment horizontal="left" vertical="center"/>
    </xf>
    <xf numFmtId="0" fontId="40" fillId="14" borderId="0" xfId="0" applyFont="1" applyFill="1" applyAlignment="1">
      <alignment horizontal="center" vertical="center"/>
    </xf>
    <xf numFmtId="1" fontId="40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horizontal="left" vertical="center"/>
      <protection hidden="1"/>
    </xf>
    <xf numFmtId="1" fontId="46" fillId="0" borderId="33" xfId="1" applyNumberFormat="1" applyFont="1" applyBorder="1" applyAlignment="1">
      <alignment vertical="center" wrapText="1"/>
    </xf>
    <xf numFmtId="0" fontId="27" fillId="0" borderId="0" xfId="2" applyFont="1" applyAlignment="1">
      <alignment vertical="center"/>
    </xf>
    <xf numFmtId="0" fontId="26" fillId="0" borderId="0" xfId="2" applyFont="1" applyAlignment="1">
      <alignment vertical="center"/>
    </xf>
    <xf numFmtId="0" fontId="27" fillId="0" borderId="0" xfId="2" applyFont="1" applyAlignment="1">
      <alignment horizontal="left" vertical="center"/>
    </xf>
    <xf numFmtId="0" fontId="27" fillId="12" borderId="33" xfId="2" applyFont="1" applyFill="1" applyBorder="1" applyAlignment="1">
      <alignment horizontal="center" vertical="center" wrapText="1"/>
    </xf>
    <xf numFmtId="0" fontId="27" fillId="5" borderId="33" xfId="2" applyFont="1" applyFill="1" applyBorder="1" applyAlignment="1">
      <alignment horizontal="center" vertical="center" wrapText="1"/>
    </xf>
    <xf numFmtId="0" fontId="26" fillId="0" borderId="33" xfId="2" applyFont="1" applyBorder="1" applyAlignment="1">
      <alignment horizontal="center" vertical="center" wrapText="1"/>
    </xf>
    <xf numFmtId="0" fontId="26" fillId="0" borderId="33" xfId="2" applyFont="1" applyBorder="1" applyAlignment="1">
      <alignment vertical="center" wrapText="1"/>
    </xf>
    <xf numFmtId="1" fontId="27" fillId="5" borderId="33" xfId="2" applyNumberFormat="1" applyFont="1" applyFill="1" applyBorder="1" applyAlignment="1">
      <alignment horizontal="center" vertical="center" wrapText="1"/>
    </xf>
    <xf numFmtId="1" fontId="27" fillId="0" borderId="33" xfId="2" applyNumberFormat="1" applyFont="1" applyBorder="1" applyAlignment="1">
      <alignment horizontal="center" vertical="center" wrapText="1"/>
    </xf>
    <xf numFmtId="0" fontId="26" fillId="0" borderId="33" xfId="2" quotePrefix="1" applyFont="1" applyBorder="1" applyAlignment="1">
      <alignment horizontal="left" vertical="center" wrapText="1"/>
    </xf>
    <xf numFmtId="0" fontId="26" fillId="0" borderId="33" xfId="2" applyFont="1" applyBorder="1" applyAlignment="1">
      <alignment horizontal="left" vertical="center" wrapText="1"/>
    </xf>
    <xf numFmtId="0" fontId="27" fillId="0" borderId="33" xfId="2" applyFont="1" applyBorder="1" applyAlignment="1">
      <alignment horizontal="left" vertical="center"/>
    </xf>
    <xf numFmtId="0" fontId="27" fillId="5" borderId="33" xfId="2" applyFont="1" applyFill="1" applyBorder="1" applyAlignment="1">
      <alignment horizontal="left" vertical="center" wrapText="1"/>
    </xf>
    <xf numFmtId="0" fontId="27" fillId="5" borderId="33" xfId="2" applyFont="1" applyFill="1" applyBorder="1" applyAlignment="1">
      <alignment horizontal="left" vertical="center"/>
    </xf>
    <xf numFmtId="0" fontId="27" fillId="5" borderId="33" xfId="2" applyFont="1" applyFill="1" applyBorder="1" applyAlignment="1">
      <alignment horizontal="left" vertical="top" wrapText="1"/>
    </xf>
    <xf numFmtId="0" fontId="26" fillId="0" borderId="0" xfId="2" applyFont="1" applyAlignment="1">
      <alignment horizontal="left" vertical="center"/>
    </xf>
    <xf numFmtId="1" fontId="48" fillId="14" borderId="0" xfId="0" applyNumberFormat="1" applyFont="1" applyFill="1" applyAlignment="1">
      <alignment horizontal="center" vertical="center"/>
    </xf>
    <xf numFmtId="1" fontId="27" fillId="0" borderId="33" xfId="1" applyNumberFormat="1" applyFont="1" applyBorder="1" applyAlignment="1">
      <alignment horizontal="center" vertical="center" wrapText="1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9" fillId="2" borderId="0" xfId="131" applyFont="1" applyFill="1" applyAlignment="1">
      <alignment vertical="center"/>
    </xf>
    <xf numFmtId="9" fontId="39" fillId="2" borderId="0" xfId="131" applyFont="1" applyFill="1" applyAlignment="1">
      <alignment vertical="center"/>
    </xf>
    <xf numFmtId="9" fontId="40" fillId="2" borderId="0" xfId="131" applyFont="1" applyFill="1" applyAlignment="1">
      <alignment vertical="center"/>
    </xf>
    <xf numFmtId="9" fontId="26" fillId="2" borderId="0" xfId="131" applyFont="1" applyFill="1" applyAlignment="1">
      <alignment horizontal="center" vertical="center"/>
    </xf>
    <xf numFmtId="9" fontId="37" fillId="2" borderId="0" xfId="131" applyFont="1" applyFill="1" applyAlignment="1">
      <alignment vertical="center"/>
    </xf>
    <xf numFmtId="9" fontId="32" fillId="2" borderId="0" xfId="131" applyFont="1" applyFill="1" applyAlignment="1">
      <alignment vertical="center"/>
    </xf>
    <xf numFmtId="9" fontId="34" fillId="2" borderId="0" xfId="131" applyFont="1" applyFill="1" applyAlignment="1">
      <alignment horizontal="center" vertical="center"/>
    </xf>
    <xf numFmtId="9" fontId="27" fillId="2" borderId="0" xfId="131" applyFont="1" applyFill="1" applyAlignment="1">
      <alignment vertical="center"/>
    </xf>
    <xf numFmtId="9" fontId="45" fillId="0" borderId="0" xfId="131" applyFont="1" applyAlignment="1">
      <alignment vertical="center"/>
    </xf>
    <xf numFmtId="9" fontId="35" fillId="0" borderId="0" xfId="131" applyFont="1" applyAlignment="1">
      <alignment vertical="center"/>
    </xf>
    <xf numFmtId="175" fontId="40" fillId="2" borderId="0" xfId="131" applyNumberFormat="1" applyFont="1" applyFill="1" applyAlignment="1">
      <alignment vertical="center"/>
    </xf>
    <xf numFmtId="176" fontId="37" fillId="0" borderId="33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1" fontId="46" fillId="0" borderId="6" xfId="1" applyNumberFormat="1" applyFont="1" applyBorder="1" applyAlignment="1">
      <alignment vertical="center" wrapText="1"/>
    </xf>
    <xf numFmtId="1" fontId="44" fillId="0" borderId="5" xfId="1" applyNumberFormat="1" applyFont="1" applyBorder="1" applyAlignment="1">
      <alignment horizontal="center" vertical="center" wrapText="1"/>
    </xf>
    <xf numFmtId="0" fontId="27" fillId="0" borderId="33" xfId="2" applyFont="1" applyBorder="1" applyAlignment="1">
      <alignment horizontal="center" vertical="center"/>
    </xf>
    <xf numFmtId="0" fontId="27" fillId="0" borderId="33" xfId="2" quotePrefix="1" applyFont="1" applyBorder="1" applyAlignment="1">
      <alignment horizontal="left" vertical="center" wrapText="1"/>
    </xf>
    <xf numFmtId="0" fontId="36" fillId="0" borderId="6" xfId="0" quotePrefix="1" applyFont="1" applyBorder="1" applyAlignment="1">
      <alignment horizontal="center" vertical="center"/>
    </xf>
    <xf numFmtId="0" fontId="36" fillId="2" borderId="9" xfId="0" applyFont="1" applyFill="1" applyBorder="1" applyAlignment="1">
      <alignment horizontal="center" vertical="center"/>
    </xf>
    <xf numFmtId="1" fontId="36" fillId="2" borderId="9" xfId="0" applyNumberFormat="1" applyFont="1" applyFill="1" applyBorder="1" applyAlignment="1">
      <alignment horizontal="center" vertical="center"/>
    </xf>
    <xf numFmtId="0" fontId="72" fillId="2" borderId="0" xfId="0" applyFont="1" applyFill="1" applyAlignment="1">
      <alignment horizontal="left" vertical="center"/>
    </xf>
    <xf numFmtId="0" fontId="73" fillId="2" borderId="0" xfId="0" applyFont="1" applyFill="1" applyAlignment="1">
      <alignment horizontal="left" vertical="center"/>
    </xf>
    <xf numFmtId="0" fontId="30" fillId="2" borderId="0" xfId="0" applyFont="1" applyFill="1" applyAlignment="1">
      <alignment vertical="center"/>
    </xf>
    <xf numFmtId="0" fontId="72" fillId="2" borderId="0" xfId="0" applyFont="1" applyFill="1" applyAlignment="1">
      <alignment vertical="center"/>
    </xf>
    <xf numFmtId="0" fontId="72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 wrapText="1"/>
    </xf>
    <xf numFmtId="9" fontId="72" fillId="2" borderId="0" xfId="131" applyFont="1" applyFill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30" fillId="2" borderId="1" xfId="0" applyFont="1" applyFill="1" applyBorder="1" applyAlignment="1">
      <alignment horizontal="left" vertical="center"/>
    </xf>
    <xf numFmtId="0" fontId="75" fillId="2" borderId="2" xfId="0" applyFont="1" applyFill="1" applyBorder="1" applyAlignment="1">
      <alignment horizontal="left" vertical="center"/>
    </xf>
    <xf numFmtId="0" fontId="48" fillId="47" borderId="2" xfId="0" applyFont="1" applyFill="1" applyBorder="1" applyAlignment="1">
      <alignment horizontal="left" vertical="center"/>
    </xf>
    <xf numFmtId="0" fontId="48" fillId="47" borderId="4" xfId="0" applyFont="1" applyFill="1" applyBorder="1" applyAlignment="1">
      <alignment horizontal="center" vertical="center"/>
    </xf>
    <xf numFmtId="0" fontId="48" fillId="47" borderId="0" xfId="0" applyFont="1" applyFill="1" applyAlignment="1">
      <alignment horizontal="center" vertical="center"/>
    </xf>
    <xf numFmtId="0" fontId="48" fillId="47" borderId="0" xfId="0" applyFont="1" applyFill="1" applyAlignment="1">
      <alignment horizontal="center" vertical="center" wrapText="1"/>
    </xf>
    <xf numFmtId="0" fontId="48" fillId="47" borderId="4" xfId="0" applyFont="1" applyFill="1" applyBorder="1" applyAlignment="1">
      <alignment horizontal="center" vertical="center" wrapText="1"/>
    </xf>
    <xf numFmtId="0" fontId="48" fillId="47" borderId="2" xfId="0" applyFont="1" applyFill="1" applyBorder="1" applyAlignment="1">
      <alignment horizontal="center" vertical="center"/>
    </xf>
    <xf numFmtId="0" fontId="75" fillId="2" borderId="2" xfId="0" applyFont="1" applyFill="1" applyBorder="1" applyAlignment="1">
      <alignment horizontal="left" vertical="center" wrapText="1"/>
    </xf>
    <xf numFmtId="0" fontId="77" fillId="0" borderId="0" xfId="0" applyFont="1" applyAlignment="1">
      <alignment vertical="center"/>
    </xf>
    <xf numFmtId="0" fontId="78" fillId="0" borderId="0" xfId="0" applyFont="1" applyAlignment="1">
      <alignment vertical="center"/>
    </xf>
    <xf numFmtId="0" fontId="0" fillId="3" borderId="18" xfId="0" applyFill="1" applyBorder="1"/>
    <xf numFmtId="0" fontId="0" fillId="3" borderId="19" xfId="0" applyFill="1" applyBorder="1"/>
    <xf numFmtId="0" fontId="0" fillId="3" borderId="20" xfId="0" applyFill="1" applyBorder="1"/>
    <xf numFmtId="0" fontId="0" fillId="3" borderId="0" xfId="0" applyFill="1"/>
    <xf numFmtId="0" fontId="0" fillId="3" borderId="21" xfId="0" applyFill="1" applyBorder="1"/>
    <xf numFmtId="0" fontId="0" fillId="3" borderId="22" xfId="0" applyFill="1" applyBorder="1"/>
    <xf numFmtId="0" fontId="0" fillId="3" borderId="26" xfId="0" applyFill="1" applyBorder="1"/>
    <xf numFmtId="0" fontId="0" fillId="3" borderId="23" xfId="0" applyFill="1" applyBorder="1"/>
    <xf numFmtId="0" fontId="0" fillId="3" borderId="27" xfId="0" applyFill="1" applyBorder="1"/>
    <xf numFmtId="0" fontId="64" fillId="3" borderId="22" xfId="0" applyFont="1" applyFill="1" applyBorder="1"/>
    <xf numFmtId="0" fontId="79" fillId="3" borderId="0" xfId="0" applyFont="1" applyFill="1" applyAlignment="1">
      <alignment horizontal="left"/>
    </xf>
    <xf numFmtId="0" fontId="40" fillId="15" borderId="0" xfId="0" applyFont="1" applyFill="1"/>
    <xf numFmtId="1" fontId="27" fillId="5" borderId="34" xfId="2" applyNumberFormat="1" applyFont="1" applyFill="1" applyBorder="1" applyAlignment="1">
      <alignment horizontal="center" vertical="center" wrapText="1"/>
    </xf>
    <xf numFmtId="1" fontId="27" fillId="5" borderId="31" xfId="2" applyNumberFormat="1" applyFont="1" applyFill="1" applyBorder="1" applyAlignment="1">
      <alignment horizontal="center" vertical="center" wrapText="1"/>
    </xf>
    <xf numFmtId="1" fontId="27" fillId="5" borderId="32" xfId="2" applyNumberFormat="1" applyFont="1" applyFill="1" applyBorder="1" applyAlignment="1">
      <alignment horizontal="center" vertical="center" wrapText="1"/>
    </xf>
    <xf numFmtId="0" fontId="27" fillId="5" borderId="34" xfId="2" applyFont="1" applyFill="1" applyBorder="1" applyAlignment="1">
      <alignment horizontal="center" vertical="center" wrapText="1"/>
    </xf>
    <xf numFmtId="0" fontId="27" fillId="5" borderId="31" xfId="2" applyFont="1" applyFill="1" applyBorder="1" applyAlignment="1">
      <alignment horizontal="center" vertical="center" wrapText="1"/>
    </xf>
    <xf numFmtId="0" fontId="27" fillId="5" borderId="32" xfId="2" applyFont="1" applyFill="1" applyBorder="1" applyAlignment="1">
      <alignment horizontal="center" vertical="center" wrapText="1"/>
    </xf>
    <xf numFmtId="0" fontId="27" fillId="5" borderId="33" xfId="2" applyFont="1" applyFill="1" applyBorder="1" applyAlignment="1">
      <alignment horizontal="left" wrapText="1"/>
    </xf>
    <xf numFmtId="0" fontId="40" fillId="0" borderId="2" xfId="0" quotePrefix="1" applyFont="1" applyBorder="1" applyAlignment="1">
      <alignment horizontal="center" vertical="center"/>
    </xf>
    <xf numFmtId="0" fontId="27" fillId="0" borderId="34" xfId="2" applyFont="1" applyBorder="1" applyAlignment="1">
      <alignment horizontal="center"/>
    </xf>
    <xf numFmtId="0" fontId="27" fillId="0" borderId="31" xfId="2" applyFont="1" applyBorder="1" applyAlignment="1">
      <alignment horizontal="center"/>
    </xf>
    <xf numFmtId="0" fontId="27" fillId="0" borderId="32" xfId="2" applyFont="1" applyBorder="1" applyAlignment="1">
      <alignment horizont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1" fontId="40" fillId="0" borderId="0" xfId="0" applyNumberFormat="1" applyFont="1" applyAlignment="1">
      <alignment vertical="center"/>
    </xf>
    <xf numFmtId="0" fontId="40" fillId="0" borderId="0" xfId="0" quotePrefix="1" applyFont="1" applyAlignment="1">
      <alignment horizontal="center" vertical="center"/>
    </xf>
    <xf numFmtId="1" fontId="40" fillId="0" borderId="0" xfId="0" applyNumberFormat="1" applyFont="1" applyAlignment="1">
      <alignment horizontal="center" vertical="center"/>
    </xf>
    <xf numFmtId="175" fontId="40" fillId="0" borderId="0" xfId="131" applyNumberFormat="1" applyFont="1" applyFill="1" applyAlignment="1">
      <alignment vertical="center"/>
    </xf>
    <xf numFmtId="0" fontId="29" fillId="2" borderId="0" xfId="131" applyNumberFormat="1" applyFont="1" applyFill="1" applyAlignment="1">
      <alignment horizontal="center" vertical="center"/>
    </xf>
    <xf numFmtId="0" fontId="0" fillId="0" borderId="45" xfId="0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48" xfId="0" applyBorder="1" applyAlignment="1">
      <alignment horizontal="left" vertical="top" wrapText="1"/>
    </xf>
    <xf numFmtId="0" fontId="0" fillId="0" borderId="52" xfId="0" applyBorder="1" applyAlignment="1">
      <alignment horizontal="left" vertical="top" wrapText="1"/>
    </xf>
    <xf numFmtId="0" fontId="90" fillId="0" borderId="48" xfId="0" applyFont="1" applyBorder="1" applyAlignment="1">
      <alignment horizontal="left" vertical="top" wrapText="1"/>
    </xf>
    <xf numFmtId="0" fontId="66" fillId="0" borderId="0" xfId="0" applyFont="1" applyAlignment="1">
      <alignment horizontal="left" vertical="top"/>
    </xf>
    <xf numFmtId="0" fontId="91" fillId="0" borderId="0" xfId="0" applyFont="1" applyAlignment="1">
      <alignment horizontal="left" vertical="top"/>
    </xf>
    <xf numFmtId="0" fontId="87" fillId="0" borderId="45" xfId="0" applyFont="1" applyBorder="1" applyAlignment="1">
      <alignment horizontal="left" vertical="top" wrapText="1"/>
    </xf>
    <xf numFmtId="0" fontId="90" fillId="0" borderId="52" xfId="0" applyFont="1" applyBorder="1" applyAlignment="1">
      <alignment horizontal="left" vertical="top" wrapText="1"/>
    </xf>
    <xf numFmtId="0" fontId="90" fillId="0" borderId="45" xfId="0" applyFont="1" applyBorder="1" applyAlignment="1">
      <alignment horizontal="left" vertical="top" wrapText="1"/>
    </xf>
    <xf numFmtId="0" fontId="90" fillId="0" borderId="45" xfId="0" applyFont="1" applyBorder="1" applyAlignment="1">
      <alignment vertical="top" wrapText="1"/>
    </xf>
    <xf numFmtId="0" fontId="90" fillId="0" borderId="45" xfId="0" applyFont="1" applyBorder="1" applyAlignment="1">
      <alignment horizontal="center" vertical="top" wrapText="1"/>
    </xf>
    <xf numFmtId="0" fontId="90" fillId="48" borderId="45" xfId="0" applyFont="1" applyFill="1" applyBorder="1" applyAlignment="1">
      <alignment horizontal="center" vertical="top" wrapText="1"/>
    </xf>
    <xf numFmtId="0" fontId="66" fillId="0" borderId="45" xfId="0" applyFont="1" applyBorder="1" applyAlignment="1">
      <alignment horizontal="left" vertical="top" wrapText="1"/>
    </xf>
    <xf numFmtId="0" fontId="66" fillId="0" borderId="48" xfId="0" applyFont="1" applyBorder="1" applyAlignment="1">
      <alignment horizontal="left" vertical="top" wrapText="1"/>
    </xf>
    <xf numFmtId="0" fontId="96" fillId="0" borderId="49" xfId="133" applyFont="1" applyBorder="1" applyAlignment="1">
      <alignment horizontal="left" vertical="center" wrapText="1"/>
    </xf>
    <xf numFmtId="0" fontId="97" fillId="0" borderId="45" xfId="0" applyFont="1" applyBorder="1" applyAlignment="1">
      <alignment horizontal="left" vertical="top" wrapText="1"/>
    </xf>
    <xf numFmtId="0" fontId="97" fillId="0" borderId="52" xfId="0" applyFont="1" applyBorder="1" applyAlignment="1">
      <alignment horizontal="left" vertical="top" wrapText="1"/>
    </xf>
    <xf numFmtId="0" fontId="89" fillId="48" borderId="45" xfId="0" applyFont="1" applyFill="1" applyBorder="1" applyAlignment="1">
      <alignment horizontal="left" vertical="top" wrapText="1"/>
    </xf>
    <xf numFmtId="177" fontId="98" fillId="48" borderId="45" xfId="0" applyNumberFormat="1" applyFont="1" applyFill="1" applyBorder="1" applyAlignment="1">
      <alignment horizontal="left" vertical="top" wrapText="1"/>
    </xf>
    <xf numFmtId="177" fontId="99" fillId="0" borderId="45" xfId="0" applyNumberFormat="1" applyFont="1" applyBorder="1" applyAlignment="1">
      <alignment horizontal="left" vertical="top" wrapText="1"/>
    </xf>
    <xf numFmtId="0" fontId="100" fillId="0" borderId="0" xfId="59" applyFont="1"/>
    <xf numFmtId="0" fontId="101" fillId="9" borderId="33" xfId="0" applyFont="1" applyFill="1" applyBorder="1" applyAlignment="1">
      <alignment vertical="center"/>
    </xf>
    <xf numFmtId="0" fontId="102" fillId="0" borderId="33" xfId="0" applyFont="1" applyBorder="1" applyAlignment="1">
      <alignment horizontal="center"/>
    </xf>
    <xf numFmtId="0" fontId="102" fillId="0" borderId="33" xfId="0" quotePrefix="1" applyFont="1" applyBorder="1" applyAlignment="1">
      <alignment horizontal="center"/>
    </xf>
    <xf numFmtId="16" fontId="102" fillId="0" borderId="33" xfId="0" quotePrefix="1" applyNumberFormat="1" applyFont="1" applyBorder="1" applyAlignment="1">
      <alignment horizontal="center"/>
    </xf>
    <xf numFmtId="0" fontId="103" fillId="0" borderId="0" xfId="59" applyFont="1" applyAlignment="1">
      <alignment vertical="center"/>
    </xf>
    <xf numFmtId="0" fontId="103" fillId="5" borderId="59" xfId="59" applyFont="1" applyFill="1" applyBorder="1" applyAlignment="1">
      <alignment horizontal="left" vertical="center"/>
    </xf>
    <xf numFmtId="14" fontId="103" fillId="49" borderId="59" xfId="59" applyNumberFormat="1" applyFont="1" applyFill="1" applyBorder="1" applyAlignment="1">
      <alignment horizontal="center" vertical="center"/>
    </xf>
    <xf numFmtId="0" fontId="103" fillId="0" borderId="60" xfId="59" applyFont="1" applyBorder="1" applyAlignment="1">
      <alignment horizontal="center" vertical="center"/>
    </xf>
    <xf numFmtId="0" fontId="103" fillId="49" borderId="59" xfId="59" applyFont="1" applyFill="1" applyBorder="1" applyAlignment="1">
      <alignment horizontal="center" vertical="center"/>
    </xf>
    <xf numFmtId="0" fontId="103" fillId="49" borderId="59" xfId="59" applyFont="1" applyFill="1" applyBorder="1" applyAlignment="1">
      <alignment horizontal="left" vertical="center"/>
    </xf>
    <xf numFmtId="0" fontId="103" fillId="0" borderId="0" xfId="59" applyFont="1" applyAlignment="1">
      <alignment horizontal="left" vertical="center"/>
    </xf>
    <xf numFmtId="0" fontId="103" fillId="0" borderId="0" xfId="59" applyFont="1" applyAlignment="1">
      <alignment horizontal="center" vertical="center"/>
    </xf>
    <xf numFmtId="0" fontId="0" fillId="0" borderId="21" xfId="0" applyBorder="1"/>
    <xf numFmtId="0" fontId="100" fillId="0" borderId="19" xfId="59" applyFont="1" applyBorder="1"/>
    <xf numFmtId="0" fontId="32" fillId="5" borderId="59" xfId="59" applyFont="1" applyFill="1" applyBorder="1" applyAlignment="1">
      <alignment horizontal="center" vertical="center"/>
    </xf>
    <xf numFmtId="0" fontId="32" fillId="5" borderId="59" xfId="59" applyFont="1" applyFill="1" applyBorder="1" applyAlignment="1">
      <alignment horizontal="center" vertical="center" wrapText="1"/>
    </xf>
    <xf numFmtId="0" fontId="103" fillId="0" borderId="59" xfId="59" applyFont="1" applyBorder="1" applyAlignment="1">
      <alignment horizontal="center" vertical="center"/>
    </xf>
    <xf numFmtId="0" fontId="103" fillId="0" borderId="59" xfId="59" applyFont="1" applyBorder="1" applyAlignment="1">
      <alignment horizontal="center" vertical="center" wrapText="1"/>
    </xf>
    <xf numFmtId="0" fontId="103" fillId="0" borderId="0" xfId="59" applyFont="1" applyAlignment="1">
      <alignment horizontal="left" vertical="center" wrapText="1"/>
    </xf>
    <xf numFmtId="0" fontId="103" fillId="0" borderId="0" xfId="0" applyFont="1" applyAlignment="1">
      <alignment vertical="center"/>
    </xf>
    <xf numFmtId="0" fontId="103" fillId="0" borderId="0" xfId="59" applyFont="1" applyAlignment="1">
      <alignment horizontal="center" vertical="top"/>
    </xf>
    <xf numFmtId="0" fontId="100" fillId="0" borderId="0" xfId="59" applyFont="1" applyAlignment="1">
      <alignment vertical="center"/>
    </xf>
    <xf numFmtId="0" fontId="26" fillId="0" borderId="33" xfId="2" applyFont="1" applyBorder="1" applyAlignment="1">
      <alignment horizontal="left" vertical="top" wrapText="1"/>
    </xf>
    <xf numFmtId="0" fontId="41" fillId="2" borderId="0" xfId="0" applyFont="1" applyFill="1" applyAlignment="1">
      <alignment horizontal="left" vertical="center"/>
    </xf>
    <xf numFmtId="0" fontId="26" fillId="2" borderId="33" xfId="0" applyFont="1" applyFill="1" applyBorder="1" applyAlignment="1">
      <alignment horizontal="left" vertical="center" wrapText="1"/>
    </xf>
    <xf numFmtId="0" fontId="26" fillId="2" borderId="33" xfId="0" applyFont="1" applyFill="1" applyBorder="1" applyAlignment="1">
      <alignment horizontal="left" vertical="center"/>
    </xf>
    <xf numFmtId="1" fontId="26" fillId="2" borderId="33" xfId="0" applyNumberFormat="1" applyFont="1" applyFill="1" applyBorder="1" applyAlignment="1">
      <alignment horizontal="center" vertical="center" wrapText="1"/>
    </xf>
    <xf numFmtId="1" fontId="27" fillId="2" borderId="33" xfId="0" applyNumberFormat="1" applyFont="1" applyFill="1" applyBorder="1" applyAlignment="1">
      <alignment horizontal="center" vertical="center"/>
    </xf>
    <xf numFmtId="0" fontId="36" fillId="9" borderId="9" xfId="0" applyFont="1" applyFill="1" applyBorder="1" applyAlignment="1">
      <alignment horizontal="left" vertical="center" wrapText="1"/>
    </xf>
    <xf numFmtId="12" fontId="38" fillId="0" borderId="34" xfId="0" quotePrefix="1" applyNumberFormat="1" applyFont="1" applyBorder="1" applyAlignment="1">
      <alignment horizontal="center" vertical="center" wrapText="1"/>
    </xf>
    <xf numFmtId="12" fontId="38" fillId="0" borderId="31" xfId="0" quotePrefix="1" applyNumberFormat="1" applyFont="1" applyBorder="1" applyAlignment="1">
      <alignment horizontal="center" vertical="center" wrapText="1"/>
    </xf>
    <xf numFmtId="12" fontId="38" fillId="0" borderId="32" xfId="0" quotePrefix="1" applyNumberFormat="1" applyFont="1" applyBorder="1" applyAlignment="1">
      <alignment horizontal="center" vertical="center" wrapText="1"/>
    </xf>
    <xf numFmtId="0" fontId="37" fillId="2" borderId="34" xfId="0" quotePrefix="1" applyFont="1" applyFill="1" applyBorder="1" applyAlignment="1">
      <alignment horizontal="center" vertical="center" wrapText="1"/>
    </xf>
    <xf numFmtId="0" fontId="37" fillId="2" borderId="31" xfId="0" quotePrefix="1" applyFont="1" applyFill="1" applyBorder="1" applyAlignment="1">
      <alignment horizontal="center" vertical="center" wrapText="1"/>
    </xf>
    <xf numFmtId="0" fontId="37" fillId="2" borderId="32" xfId="0" quotePrefix="1" applyFont="1" applyFill="1" applyBorder="1" applyAlignment="1">
      <alignment horizontal="center" vertical="center" wrapText="1"/>
    </xf>
    <xf numFmtId="0" fontId="26" fillId="2" borderId="34" xfId="0" applyFont="1" applyFill="1" applyBorder="1" applyAlignment="1">
      <alignment horizontal="left" vertical="center" wrapText="1"/>
    </xf>
    <xf numFmtId="0" fontId="26" fillId="2" borderId="31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horizontal="left" vertical="center" wrapText="1"/>
    </xf>
    <xf numFmtId="0" fontId="22" fillId="5" borderId="33" xfId="0" applyFont="1" applyFill="1" applyBorder="1" applyAlignment="1">
      <alignment horizontal="center" vertical="center"/>
    </xf>
    <xf numFmtId="0" fontId="22" fillId="5" borderId="33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8" xfId="0" applyFont="1" applyFill="1" applyBorder="1" applyAlignment="1">
      <alignment horizontal="center" vertical="center" wrapText="1"/>
    </xf>
    <xf numFmtId="0" fontId="27" fillId="3" borderId="24" xfId="0" applyFont="1" applyFill="1" applyBorder="1" applyAlignment="1">
      <alignment horizontal="center" vertical="center" wrapText="1"/>
    </xf>
    <xf numFmtId="0" fontId="27" fillId="3" borderId="25" xfId="0" applyFont="1" applyFill="1" applyBorder="1" applyAlignment="1">
      <alignment horizontal="center" vertical="center" wrapText="1"/>
    </xf>
    <xf numFmtId="1" fontId="26" fillId="2" borderId="33" xfId="0" applyNumberFormat="1" applyFont="1" applyFill="1" applyBorder="1" applyAlignment="1">
      <alignment horizontal="left" vertical="center" wrapText="1"/>
    </xf>
    <xf numFmtId="0" fontId="27" fillId="0" borderId="34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7" fillId="0" borderId="34" xfId="0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26" fillId="2" borderId="34" xfId="0" quotePrefix="1" applyFont="1" applyFill="1" applyBorder="1" applyAlignment="1">
      <alignment horizontal="center" vertical="center" wrapText="1"/>
    </xf>
    <xf numFmtId="0" fontId="26" fillId="2" borderId="31" xfId="0" quotePrefix="1" applyFont="1" applyFill="1" applyBorder="1" applyAlignment="1">
      <alignment horizontal="center" vertical="center" wrapText="1"/>
    </xf>
    <xf numFmtId="0" fontId="26" fillId="2" borderId="32" xfId="0" quotePrefix="1" applyFont="1" applyFill="1" applyBorder="1" applyAlignment="1">
      <alignment horizontal="center" vertical="center" wrapText="1"/>
    </xf>
    <xf numFmtId="1" fontId="24" fillId="2" borderId="33" xfId="0" applyNumberFormat="1" applyFont="1" applyFill="1" applyBorder="1" applyAlignment="1">
      <alignment horizontal="left" vertical="center" wrapText="1"/>
    </xf>
    <xf numFmtId="0" fontId="37" fillId="9" borderId="9" xfId="0" applyFont="1" applyFill="1" applyBorder="1" applyAlignment="1">
      <alignment horizontal="left" vertical="center" wrapText="1"/>
    </xf>
    <xf numFmtId="0" fontId="38" fillId="10" borderId="33" xfId="0" applyFont="1" applyFill="1" applyBorder="1" applyAlignment="1">
      <alignment horizontal="center" vertical="center"/>
    </xf>
    <xf numFmtId="1" fontId="49" fillId="0" borderId="33" xfId="0" applyNumberFormat="1" applyFont="1" applyBorder="1" applyAlignment="1">
      <alignment horizontal="center" vertical="center" wrapText="1"/>
    </xf>
    <xf numFmtId="0" fontId="37" fillId="2" borderId="33" xfId="0" applyFont="1" applyFill="1" applyBorder="1" applyAlignment="1">
      <alignment horizontal="left" vertical="center" wrapText="1"/>
    </xf>
    <xf numFmtId="0" fontId="37" fillId="0" borderId="33" xfId="0" applyFont="1" applyBorder="1" applyAlignment="1">
      <alignment horizontal="left" vertical="center" wrapText="1"/>
    </xf>
    <xf numFmtId="1" fontId="49" fillId="0" borderId="33" xfId="0" applyNumberFormat="1" applyFont="1" applyBorder="1" applyAlignment="1">
      <alignment horizontal="left" vertical="center" wrapText="1"/>
    </xf>
    <xf numFmtId="0" fontId="22" fillId="11" borderId="9" xfId="0" applyFont="1" applyFill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3" fillId="0" borderId="9" xfId="0" quotePrefix="1" applyFont="1" applyBorder="1" applyAlignment="1">
      <alignment horizontal="center" vertical="center"/>
    </xf>
    <xf numFmtId="16" fontId="23" fillId="0" borderId="9" xfId="0" quotePrefix="1" applyNumberFormat="1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26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" vertical="center" wrapText="1"/>
    </xf>
    <xf numFmtId="0" fontId="38" fillId="0" borderId="27" xfId="0" applyFont="1" applyBorder="1" applyAlignment="1">
      <alignment horizontal="center" vertical="center" wrapText="1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4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/>
    </xf>
    <xf numFmtId="0" fontId="22" fillId="5" borderId="14" xfId="0" applyFont="1" applyFill="1" applyBorder="1" applyAlignment="1">
      <alignment horizontal="center" vertical="center"/>
    </xf>
    <xf numFmtId="0" fontId="22" fillId="5" borderId="12" xfId="0" applyFont="1" applyFill="1" applyBorder="1" applyAlignment="1">
      <alignment horizontal="center" vertical="center"/>
    </xf>
    <xf numFmtId="0" fontId="22" fillId="5" borderId="12" xfId="0" applyFont="1" applyFill="1" applyBorder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 wrapText="1"/>
    </xf>
    <xf numFmtId="0" fontId="26" fillId="2" borderId="8" xfId="0" applyFont="1" applyFill="1" applyBorder="1" applyAlignment="1">
      <alignment horizontal="center" vertical="center" wrapText="1"/>
    </xf>
    <xf numFmtId="0" fontId="27" fillId="3" borderId="33" xfId="0" applyFont="1" applyFill="1" applyBorder="1" applyAlignment="1">
      <alignment horizontal="center" vertical="center" wrapText="1"/>
    </xf>
    <xf numFmtId="0" fontId="27" fillId="0" borderId="34" xfId="2" applyFont="1" applyBorder="1" applyAlignment="1">
      <alignment horizontal="center"/>
    </xf>
    <xf numFmtId="0" fontId="27" fillId="0" borderId="31" xfId="2" applyFont="1" applyBorder="1" applyAlignment="1">
      <alignment horizontal="center"/>
    </xf>
    <xf numFmtId="0" fontId="27" fillId="0" borderId="32" xfId="2" applyFont="1" applyBorder="1" applyAlignment="1">
      <alignment horizontal="center"/>
    </xf>
    <xf numFmtId="0" fontId="80" fillId="0" borderId="45" xfId="0" applyFont="1" applyBorder="1" applyAlignment="1">
      <alignment horizontal="center" vertical="top" wrapText="1"/>
    </xf>
    <xf numFmtId="0" fontId="80" fillId="0" borderId="48" xfId="0" applyFont="1" applyBorder="1" applyAlignment="1">
      <alignment horizontal="center" vertical="top" wrapText="1"/>
    </xf>
    <xf numFmtId="0" fontId="0" fillId="0" borderId="45" xfId="0" applyBorder="1" applyAlignment="1">
      <alignment horizontal="left" vertical="top" wrapText="1"/>
    </xf>
    <xf numFmtId="0" fontId="0" fillId="0" borderId="48" xfId="0" applyBorder="1" applyAlignment="1">
      <alignment horizontal="left" vertical="top" wrapText="1"/>
    </xf>
    <xf numFmtId="0" fontId="88" fillId="0" borderId="45" xfId="0" applyFont="1" applyBorder="1" applyAlignment="1">
      <alignment horizontal="left" vertical="top" wrapText="1"/>
    </xf>
    <xf numFmtId="0" fontId="88" fillId="0" borderId="48" xfId="0" applyFont="1" applyBorder="1" applyAlignment="1">
      <alignment horizontal="left" vertical="top" wrapText="1"/>
    </xf>
    <xf numFmtId="0" fontId="88" fillId="0" borderId="49" xfId="0" applyFont="1" applyBorder="1" applyAlignment="1">
      <alignment horizontal="left" vertical="top" wrapText="1"/>
    </xf>
    <xf numFmtId="0" fontId="87" fillId="0" borderId="45" xfId="0" applyFont="1" applyBorder="1" applyAlignment="1">
      <alignment horizontal="left" vertical="top" wrapText="1"/>
    </xf>
    <xf numFmtId="0" fontId="87" fillId="0" borderId="49" xfId="0" applyFont="1" applyBorder="1" applyAlignment="1">
      <alignment horizontal="left" vertical="top" wrapText="1"/>
    </xf>
    <xf numFmtId="0" fontId="94" fillId="0" borderId="45" xfId="0" applyFont="1" applyBorder="1" applyAlignment="1">
      <alignment horizontal="left" vertical="top" wrapText="1"/>
    </xf>
    <xf numFmtId="0" fontId="94" fillId="0" borderId="48" xfId="0" applyFont="1" applyBorder="1" applyAlignment="1">
      <alignment horizontal="left" vertical="top" wrapText="1"/>
    </xf>
    <xf numFmtId="0" fontId="94" fillId="0" borderId="49" xfId="0" applyFont="1" applyBorder="1" applyAlignment="1">
      <alignment horizontal="left" vertical="top" wrapText="1"/>
    </xf>
    <xf numFmtId="0" fontId="87" fillId="0" borderId="50" xfId="0" applyFont="1" applyBorder="1" applyAlignment="1">
      <alignment horizontal="left" vertical="top" wrapText="1"/>
    </xf>
    <xf numFmtId="0" fontId="87" fillId="0" borderId="51" xfId="0" applyFont="1" applyBorder="1" applyAlignment="1">
      <alignment horizontal="left" vertical="top" wrapText="1"/>
    </xf>
    <xf numFmtId="0" fontId="87" fillId="0" borderId="56" xfId="0" applyFont="1" applyBorder="1" applyAlignment="1">
      <alignment horizontal="left" vertical="top" wrapText="1"/>
    </xf>
    <xf numFmtId="0" fontId="87" fillId="0" borderId="58" xfId="0" applyFont="1" applyBorder="1" applyAlignment="1">
      <alignment horizontal="left" vertical="top" wrapText="1"/>
    </xf>
    <xf numFmtId="0" fontId="91" fillId="0" borderId="50" xfId="0" applyFont="1" applyBorder="1" applyAlignment="1">
      <alignment horizontal="left" vertical="top" wrapText="1"/>
    </xf>
    <xf numFmtId="0" fontId="91" fillId="0" borderId="53" xfId="0" applyFont="1" applyBorder="1" applyAlignment="1">
      <alignment horizontal="left" vertical="top" wrapText="1"/>
    </xf>
    <xf numFmtId="0" fontId="91" fillId="0" borderId="56" xfId="0" applyFont="1" applyBorder="1" applyAlignment="1">
      <alignment horizontal="left" vertical="top" wrapText="1"/>
    </xf>
    <xf numFmtId="0" fontId="91" fillId="0" borderId="57" xfId="0" applyFont="1" applyBorder="1" applyAlignment="1">
      <alignment horizontal="left" vertical="top" wrapText="1"/>
    </xf>
    <xf numFmtId="0" fontId="90" fillId="0" borderId="45" xfId="0" applyFont="1" applyBorder="1" applyAlignment="1">
      <alignment horizontal="left" vertical="top" wrapText="1"/>
    </xf>
    <xf numFmtId="0" fontId="90" fillId="0" borderId="48" xfId="0" applyFont="1" applyBorder="1" applyAlignment="1">
      <alignment horizontal="left" vertical="top" wrapText="1"/>
    </xf>
    <xf numFmtId="0" fontId="90" fillId="0" borderId="49" xfId="0" applyFont="1" applyBorder="1" applyAlignment="1">
      <alignment horizontal="left" vertical="top" wrapText="1"/>
    </xf>
    <xf numFmtId="0" fontId="91" fillId="0" borderId="45" xfId="0" applyFont="1" applyBorder="1" applyAlignment="1">
      <alignment horizontal="left" vertical="top" wrapText="1"/>
    </xf>
    <xf numFmtId="0" fontId="91" fillId="0" borderId="46" xfId="0" applyFont="1" applyBorder="1" applyAlignment="1">
      <alignment horizontal="left" vertical="top" wrapText="1"/>
    </xf>
    <xf numFmtId="0" fontId="92" fillId="0" borderId="47" xfId="0" applyFont="1" applyBorder="1" applyAlignment="1">
      <alignment horizontal="left" vertical="top" wrapText="1"/>
    </xf>
    <xf numFmtId="0" fontId="92" fillId="0" borderId="48" xfId="0" applyFont="1" applyBorder="1" applyAlignment="1">
      <alignment horizontal="left" vertical="top" wrapText="1"/>
    </xf>
    <xf numFmtId="0" fontId="93" fillId="0" borderId="47" xfId="0" applyFont="1" applyBorder="1" applyAlignment="1">
      <alignment horizontal="left" vertical="top" wrapText="1"/>
    </xf>
    <xf numFmtId="0" fontId="93" fillId="0" borderId="48" xfId="0" applyFont="1" applyBorder="1" applyAlignment="1">
      <alignment horizontal="left" vertical="top" wrapText="1"/>
    </xf>
    <xf numFmtId="0" fontId="91" fillId="0" borderId="50" xfId="0" applyFont="1" applyBorder="1" applyAlignment="1">
      <alignment horizontal="left" wrapText="1"/>
    </xf>
    <xf numFmtId="0" fontId="91" fillId="0" borderId="51" xfId="0" applyFont="1" applyBorder="1" applyAlignment="1">
      <alignment horizontal="left" wrapText="1"/>
    </xf>
    <xf numFmtId="0" fontId="91" fillId="0" borderId="54" xfId="0" applyFont="1" applyBorder="1" applyAlignment="1">
      <alignment horizontal="left" wrapText="1"/>
    </xf>
    <xf numFmtId="0" fontId="91" fillId="0" borderId="55" xfId="0" applyFont="1" applyBorder="1" applyAlignment="1">
      <alignment horizontal="left" wrapText="1"/>
    </xf>
    <xf numFmtId="0" fontId="91" fillId="0" borderId="56" xfId="0" applyFont="1" applyBorder="1" applyAlignment="1">
      <alignment horizontal="left" wrapText="1"/>
    </xf>
    <xf numFmtId="0" fontId="91" fillId="0" borderId="58" xfId="0" applyFont="1" applyBorder="1" applyAlignment="1">
      <alignment horizontal="left" wrapText="1"/>
    </xf>
    <xf numFmtId="0" fontId="91" fillId="0" borderId="51" xfId="0" applyFont="1" applyBorder="1" applyAlignment="1">
      <alignment horizontal="left" vertical="top" wrapText="1"/>
    </xf>
    <xf numFmtId="0" fontId="91" fillId="0" borderId="58" xfId="0" applyFont="1" applyBorder="1" applyAlignment="1">
      <alignment horizontal="left" vertical="top" wrapText="1"/>
    </xf>
    <xf numFmtId="0" fontId="93" fillId="0" borderId="45" xfId="0" applyFont="1" applyBorder="1" applyAlignment="1">
      <alignment horizontal="left" vertical="top" wrapText="1"/>
    </xf>
    <xf numFmtId="0" fontId="32" fillId="5" borderId="59" xfId="59" applyFont="1" applyFill="1" applyBorder="1" applyAlignment="1">
      <alignment horizontal="center" vertical="center"/>
    </xf>
    <xf numFmtId="0" fontId="103" fillId="5" borderId="59" xfId="59" applyFont="1" applyFill="1" applyBorder="1" applyAlignment="1">
      <alignment horizontal="left" vertical="center"/>
    </xf>
    <xf numFmtId="0" fontId="103" fillId="0" borderId="60" xfId="59" applyFont="1" applyBorder="1" applyAlignment="1">
      <alignment vertical="center"/>
    </xf>
    <xf numFmtId="0" fontId="103" fillId="0" borderId="60" xfId="59" applyFont="1" applyBorder="1" applyAlignment="1">
      <alignment horizontal="left" vertical="center"/>
    </xf>
    <xf numFmtId="0" fontId="103" fillId="0" borderId="59" xfId="59" applyFont="1" applyBorder="1" applyAlignment="1">
      <alignment horizontal="left" vertical="center" wrapText="1"/>
    </xf>
    <xf numFmtId="0" fontId="103" fillId="0" borderId="0" xfId="59" applyFont="1" applyAlignment="1">
      <alignment horizontal="left" vertical="center" wrapText="1"/>
    </xf>
    <xf numFmtId="0" fontId="103" fillId="0" borderId="59" xfId="59" applyFont="1" applyBorder="1" applyAlignment="1">
      <alignment horizontal="center" vertical="center"/>
    </xf>
  </cellXfs>
  <cellStyles count="136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3" xr:uid="{D9BC7F72-8547-4C2F-8E63-EFBFD2E734E1}"/>
    <cellStyle name="Normal 10 2" xfId="120" xr:uid="{EF5C0187-A12D-4F5A-8FCC-E9160554AB44}"/>
    <cellStyle name="Normal 10 2 5" xfId="113" xr:uid="{47F2D54C-209A-402F-96C4-FB1B5B2D4A05}"/>
    <cellStyle name="Normal 11" xfId="134" xr:uid="{BA077FBD-7DB2-4357-B6BE-09DA536663E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3 2 3" xfId="132" xr:uid="{4B0519F1-EDBB-4148-970A-DE9FD499533A}"/>
    <cellStyle name="Normal 2 3 3" xfId="128" xr:uid="{17F51EDC-0DA2-4156-A322-1074DA8F97BC}"/>
    <cellStyle name="Normal 2 4" xfId="68" xr:uid="{58005942-99CA-4ADE-8B6F-C6901138360D}"/>
    <cellStyle name="Normal 2 5" xfId="121" xr:uid="{B432CB2A-009A-43E9-9E3D-F0B044459608}"/>
    <cellStyle name="Normal 2 6" xfId="135" xr:uid="{82485961-B9A2-4F9A-B9B2-7726C655EF3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9" xr:uid="{09D4B289-70C8-4B8C-97CA-F1100B3DCDB7}"/>
    <cellStyle name="Normal 9" xfId="130" xr:uid="{3B97C428-12ED-4548-8533-67FEF271AB56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1.emf"/><Relationship Id="rId7" Type="http://schemas.openxmlformats.org/officeDocument/2006/relationships/image" Target="../media/image15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6" Type="http://schemas.openxmlformats.org/officeDocument/2006/relationships/image" Target="../media/image14.png"/><Relationship Id="rId5" Type="http://schemas.openxmlformats.org/officeDocument/2006/relationships/image" Target="../media/image13.emf"/><Relationship Id="rId10" Type="http://schemas.openxmlformats.org/officeDocument/2006/relationships/image" Target="../media/image17.png"/><Relationship Id="rId4" Type="http://schemas.openxmlformats.org/officeDocument/2006/relationships/image" Target="../media/image12.emf"/><Relationship Id="rId9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827405</xdr:colOff>
      <xdr:row>3</xdr:row>
      <xdr:rowOff>257175</xdr:rowOff>
    </xdr:from>
    <xdr:to>
      <xdr:col>15</xdr:col>
      <xdr:colOff>550695</xdr:colOff>
      <xdr:row>8</xdr:row>
      <xdr:rowOff>169092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B59402-794F-4FE5-BCAE-51193678C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28280" y="1352550"/>
          <a:ext cx="1596540" cy="2213792"/>
        </a:xfrm>
        <a:prstGeom prst="rect">
          <a:avLst/>
        </a:prstGeom>
      </xdr:spPr>
    </xdr:pic>
    <xdr:clientData/>
  </xdr:twoCellAnchor>
  <xdr:twoCellAnchor editAs="oneCell">
    <xdr:from>
      <xdr:col>10</xdr:col>
      <xdr:colOff>984250</xdr:colOff>
      <xdr:row>137</xdr:row>
      <xdr:rowOff>79375</xdr:rowOff>
    </xdr:from>
    <xdr:to>
      <xdr:col>13</xdr:col>
      <xdr:colOff>889000</xdr:colOff>
      <xdr:row>140</xdr:row>
      <xdr:rowOff>504622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F16C98-6E34-206E-06CF-FD359A89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98875" y="61706125"/>
          <a:ext cx="4191000" cy="2123872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1047749</xdr:colOff>
      <xdr:row>140</xdr:row>
      <xdr:rowOff>539750</xdr:rowOff>
    </xdr:from>
    <xdr:to>
      <xdr:col>15</xdr:col>
      <xdr:colOff>652094</xdr:colOff>
      <xdr:row>148</xdr:row>
      <xdr:rowOff>762000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755FA00-7B4B-2CC7-3198-C8D02056D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62374" y="63865125"/>
          <a:ext cx="5763845" cy="431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936625</xdr:colOff>
      <xdr:row>148</xdr:row>
      <xdr:rowOff>968375</xdr:rowOff>
    </xdr:from>
    <xdr:to>
      <xdr:col>14</xdr:col>
      <xdr:colOff>672750</xdr:colOff>
      <xdr:row>151</xdr:row>
      <xdr:rowOff>1063625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775064B-1638-3766-859E-7A708121A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51250" y="68389500"/>
          <a:ext cx="4959000" cy="241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523874</xdr:colOff>
      <xdr:row>151</xdr:row>
      <xdr:rowOff>1174750</xdr:rowOff>
    </xdr:from>
    <xdr:to>
      <xdr:col>16</xdr:col>
      <xdr:colOff>359336</xdr:colOff>
      <xdr:row>170</xdr:row>
      <xdr:rowOff>682625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2C06719-1348-0041-909C-09C4CA7E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938499" y="70913625"/>
          <a:ext cx="6677587" cy="5111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4849595</xdr:colOff>
      <xdr:row>19</xdr:row>
      <xdr:rowOff>200025</xdr:rowOff>
    </xdr:from>
    <xdr:to>
      <xdr:col>1</xdr:col>
      <xdr:colOff>7266106</xdr:colOff>
      <xdr:row>19</xdr:row>
      <xdr:rowOff>2963333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CDCBFAF-22D4-C31E-D17A-B2711CF51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8762" y="27716692"/>
          <a:ext cx="2416511" cy="2763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3047998</xdr:colOff>
      <xdr:row>13</xdr:row>
      <xdr:rowOff>88900</xdr:rowOff>
    </xdr:from>
    <xdr:to>
      <xdr:col>1</xdr:col>
      <xdr:colOff>8800317</xdr:colOff>
      <xdr:row>13</xdr:row>
      <xdr:rowOff>3189615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DB6803-E5E7-5175-E7E3-44A4C9C13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65" y="15794567"/>
          <a:ext cx="5752319" cy="3100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3119967</xdr:colOff>
      <xdr:row>17</xdr:row>
      <xdr:rowOff>182033</xdr:rowOff>
    </xdr:from>
    <xdr:to>
      <xdr:col>1</xdr:col>
      <xdr:colOff>8269817</xdr:colOff>
      <xdr:row>17</xdr:row>
      <xdr:rowOff>2880783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2D61B38-1C8E-42BF-A1A7-252AD1324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134" y="23952200"/>
          <a:ext cx="5149850" cy="269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3318932</xdr:colOff>
      <xdr:row>15</xdr:row>
      <xdr:rowOff>50800</xdr:rowOff>
    </xdr:from>
    <xdr:to>
      <xdr:col>1</xdr:col>
      <xdr:colOff>8843433</xdr:colOff>
      <xdr:row>15</xdr:row>
      <xdr:rowOff>2870200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94971C0-2F66-AE3A-AD54-4E9956ED9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099" y="20074467"/>
          <a:ext cx="5524501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3119967</xdr:colOff>
      <xdr:row>21</xdr:row>
      <xdr:rowOff>152400</xdr:rowOff>
    </xdr:from>
    <xdr:to>
      <xdr:col>1</xdr:col>
      <xdr:colOff>10352617</xdr:colOff>
      <xdr:row>21</xdr:row>
      <xdr:rowOff>2743200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8FD6C22-C4A5-DF0F-3CEC-CD6B66B68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9134" y="30420733"/>
          <a:ext cx="7232650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4737099</xdr:colOff>
      <xdr:row>27</xdr:row>
      <xdr:rowOff>38100</xdr:rowOff>
    </xdr:from>
    <xdr:to>
      <xdr:col>1</xdr:col>
      <xdr:colOff>7370252</xdr:colOff>
      <xdr:row>27</xdr:row>
      <xdr:rowOff>1866900</xdr:rowOff>
    </xdr:to>
    <xdr:pic>
      <xdr:nvPicPr>
        <xdr:cNvPr id="7" name="Picture 6" descr="A white paper towel on a wood surface&#10;&#10;Description automatically generated">
          <a:extLst>
            <a:ext uri="{FF2B5EF4-FFF2-40B4-BE49-F238E27FC236}">
              <a16:creationId xmlns:a16="http://schemas.microsoft.com/office/drawing/2014/main" id="{7F54BA95-43F8-441D-85F6-7DC39C5FF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6266" y="44339933"/>
          <a:ext cx="2633153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5037666</xdr:colOff>
      <xdr:row>25</xdr:row>
      <xdr:rowOff>142874</xdr:rowOff>
    </xdr:from>
    <xdr:to>
      <xdr:col>1</xdr:col>
      <xdr:colOff>7609416</xdr:colOff>
      <xdr:row>25</xdr:row>
      <xdr:rowOff>3261209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2B58573-EA52-756A-5826-2CD7B6A42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6833" y="40253707"/>
          <a:ext cx="2571750" cy="3118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8712224</xdr:colOff>
      <xdr:row>0</xdr:row>
      <xdr:rowOff>195581</xdr:rowOff>
    </xdr:from>
    <xdr:to>
      <xdr:col>1</xdr:col>
      <xdr:colOff>10101631</xdr:colOff>
      <xdr:row>3</xdr:row>
      <xdr:rowOff>488373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15F44C-FD4C-44D0-A084-9339A3C10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781391" y="195581"/>
          <a:ext cx="1389407" cy="2070792"/>
        </a:xfrm>
        <a:prstGeom prst="rect">
          <a:avLst/>
        </a:prstGeom>
      </xdr:spPr>
    </xdr:pic>
    <xdr:clientData/>
  </xdr:twoCellAnchor>
  <xdr:twoCellAnchor>
    <xdr:from>
      <xdr:col>2</xdr:col>
      <xdr:colOff>8805406</xdr:colOff>
      <xdr:row>0</xdr:row>
      <xdr:rowOff>315991</xdr:rowOff>
    </xdr:from>
    <xdr:to>
      <xdr:col>2</xdr:col>
      <xdr:colOff>10145533</xdr:colOff>
      <xdr:row>3</xdr:row>
      <xdr:rowOff>514350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B3877A1-70E5-41D6-8AE2-B7C798F6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165806" y="315991"/>
          <a:ext cx="1340127" cy="1976359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2413001</xdr:colOff>
      <xdr:row>23</xdr:row>
      <xdr:rowOff>63500</xdr:rowOff>
    </xdr:from>
    <xdr:to>
      <xdr:col>1</xdr:col>
      <xdr:colOff>10096500</xdr:colOff>
      <xdr:row>23</xdr:row>
      <xdr:rowOff>4745219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FF1107-1C31-41B7-A489-B480EA1C2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82168" y="34671000"/>
          <a:ext cx="7683499" cy="4681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23812</xdr:rowOff>
    </xdr:from>
    <xdr:to>
      <xdr:col>15</xdr:col>
      <xdr:colOff>928911</xdr:colOff>
      <xdr:row>27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DC2316-6A4B-9418-831D-DB9CC500D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12"/>
          <a:ext cx="10072911" cy="5111751"/>
        </a:xfrm>
        <a:prstGeom prst="rect">
          <a:avLst/>
        </a:prstGeom>
      </xdr:spPr>
    </xdr:pic>
    <xdr:clientData/>
  </xdr:twoCellAnchor>
  <xdr:oneCellAnchor>
    <xdr:from>
      <xdr:col>12</xdr:col>
      <xdr:colOff>301624</xdr:colOff>
      <xdr:row>18</xdr:row>
      <xdr:rowOff>63500</xdr:rowOff>
    </xdr:from>
    <xdr:ext cx="2121671" cy="436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FA15D88-AE7E-3294-7DAB-BFF4EFF92952}"/>
            </a:ext>
          </a:extLst>
        </xdr:cNvPr>
        <xdr:cNvSpPr txBox="1"/>
      </xdr:nvSpPr>
      <xdr:spPr>
        <a:xfrm>
          <a:off x="7731124" y="3365500"/>
          <a:ext cx="212167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CANH GIỮA</a:t>
          </a:r>
          <a:r>
            <a:rPr lang="en-US" sz="1100" b="1" baseline="0"/>
            <a:t> SÓNG TAY</a:t>
          </a:r>
        </a:p>
        <a:p>
          <a:r>
            <a:rPr lang="en-US" sz="1100" b="1" baseline="0"/>
            <a:t>CÁCH ĐỀU TRÊN DƯỚI TRÁI PHẢI</a:t>
          </a:r>
        </a:p>
      </xdr:txBody>
    </xdr:sp>
    <xdr:clientData/>
  </xdr:oneCellAnchor>
  <xdr:twoCellAnchor editAs="oneCell">
    <xdr:from>
      <xdr:col>0</xdr:col>
      <xdr:colOff>0</xdr:colOff>
      <xdr:row>38</xdr:row>
      <xdr:rowOff>31751</xdr:rowOff>
    </xdr:from>
    <xdr:to>
      <xdr:col>15</xdr:col>
      <xdr:colOff>991964</xdr:colOff>
      <xdr:row>66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DB9939-9044-50A4-C7B7-6C001FAB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0564"/>
          <a:ext cx="10135964" cy="51434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18</xdr:col>
      <xdr:colOff>411164</xdr:colOff>
      <xdr:row>44</xdr:row>
      <xdr:rowOff>99415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87D4EB-8F0B-4D9E-07B2-84FDC005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04900"/>
          <a:ext cx="11383964" cy="70971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2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\\DATASVR\Un-Available\Merchandising\CUSTOMERS\2%20-%20NEW%20FOLDER%20SYSTEM\CUSTOMERS\OVO\5.%20FW23\2%20-%20PRODUCTION\3.%20STYLE%20FILE%20-%20COMMENTS\CUTTING%20DOCKETS\5.%20DROP%204\3.%20BULK\OVO_OVSTS68_CUTTING%20DOCKET%20-%20BLACK%20+%20WHITE.XLSX" TargetMode="External"/><Relationship Id="rId2" Type="http://schemas.microsoft.com/office/2019/04/relationships/externalLinkLongPath" Target="/Merchandising/CUSTOMERS/2%20-%20NEW%20FOLDER%20SYSTEM/CUSTOMERS/OVO/5.%20FW23/2%20-%20PRODUCTION/3.%20STYLE%20FILE%20-%20COMMENTS/CUTTING%20DOCKETS/5.%20DROP%204/3.%20BULK/OVO_OVSTS68_CUTTING%20DOCKET%20-%20BLACK%20+%20WHITE.XLSX?ABFCA7F0" TargetMode="External"/><Relationship Id="rId1" Type="http://schemas.openxmlformats.org/officeDocument/2006/relationships/externalLinkPath" Target="file:///\\ABFCA7F0\OVO_OVSTS68_CUTTING%20DOCKET%20-%20BLACK%20+%20WHITE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OCTOBERS%20VERY%20OWN/3-FW24/2-PRODUCTION/2-STYLE-FILE/3.%20CUTTING%20DOCKET/5.%20GRAPHIC%203/2.%20BULK/OVSTS136_M-0324-KT-4947_THE%206%20O%20T-SHIRT_CUTTING%20DOCKET.XLSX" TargetMode="External"/><Relationship Id="rId2" Type="http://schemas.microsoft.com/office/2019/04/relationships/externalLinkLongPath" Target="OVSTS136_M-0324-KT-4947_THE%206%20O%20T-SHIRT_CUTTING%20DOCKET.XLSX?B2C5E061" TargetMode="External"/><Relationship Id="rId1" Type="http://schemas.openxmlformats.org/officeDocument/2006/relationships/externalLinkPath" Target="file:///\\B2C5E061\OVSTS136_M-0324-KT-4947_THE%206%20O%20T-SHIRT_CUTTING%20DOCK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3. ĐỊNH VỊ HÌNH IN"/>
      <sheetName val="4. THÔNG SỐ"/>
      <sheetName val="5. GÓP Ý PPS"/>
      <sheetName val="6. STICKER"/>
      <sheetName val="7. PP MEETING"/>
    </sheetNames>
    <sheetDataSet>
      <sheetData sheetId="0">
        <row r="74">
          <cell r="B74" t="str">
            <v>STICKER OVO (ST101_UPC BARCODE STICKER)</v>
          </cell>
          <cell r="F74" t="str">
            <v>WHITE</v>
          </cell>
        </row>
        <row r="76">
          <cell r="B76" t="str">
            <v>THẺ BÀI Booklet OVO MÀU ĐEN (HTOVO141A)</v>
          </cell>
          <cell r="F76" t="str">
            <v>WHITE</v>
          </cell>
        </row>
        <row r="78">
          <cell r="B78" t="str">
            <v>GIẤY CHỐNG ẨM A4 (TISSUE PAPER)</v>
          </cell>
          <cell r="F78" t="str">
            <v>WHITE</v>
          </cell>
        </row>
        <row r="80">
          <cell r="B80" t="str">
            <v>GÓI CHỐNG ẨM (SILICAGEL)</v>
          </cell>
        </row>
        <row r="82">
          <cell r="B82" t="str">
            <v>BAO NYLON 40X51CM (PK101 POLY BAG)</v>
          </cell>
          <cell r="F82" t="str">
            <v>CLEAR</v>
          </cell>
        </row>
        <row r="86">
          <cell r="F86" t="str">
            <v>NATURAL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3. SPEC"/>
      <sheetName val="4. STICKER"/>
      <sheetName val="5. HÌNH IN"/>
      <sheetName val="6. PP MEETING"/>
      <sheetName val="7. GÓP Ý PROTO"/>
    </sheetNames>
    <sheetDataSet>
      <sheetData sheetId="0">
        <row r="9">
          <cell r="D9" t="str">
            <v>FW24 PRODUCTION</v>
          </cell>
        </row>
        <row r="10">
          <cell r="D10" t="str">
            <v>SS TEE</v>
          </cell>
        </row>
        <row r="92">
          <cell r="C92" t="str">
            <v>KHÔNG WASH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 filterMode="1">
    <pageSetUpPr fitToPage="1"/>
  </sheetPr>
  <dimension ref="A1:U192"/>
  <sheetViews>
    <sheetView tabSelected="1" view="pageBreakPreview" topLeftCell="A21" zoomScale="40" zoomScaleNormal="50" zoomScaleSheetLayoutView="40" zoomScalePageLayoutView="25" workbookViewId="0">
      <selection activeCell="J67" sqref="J67"/>
    </sheetView>
  </sheetViews>
  <sheetFormatPr defaultColWidth="9.1796875" defaultRowHeight="16.5"/>
  <cols>
    <col min="1" max="1" width="8.453125" style="44" customWidth="1"/>
    <col min="2" max="2" width="42.6328125" style="44" customWidth="1"/>
    <col min="3" max="3" width="15.90625" style="44" customWidth="1"/>
    <col min="4" max="4" width="29.54296875" style="44" customWidth="1"/>
    <col min="5" max="5" width="29.1796875" style="44" customWidth="1"/>
    <col min="6" max="6" width="24.54296875" style="44" customWidth="1"/>
    <col min="7" max="7" width="20" style="45" customWidth="1"/>
    <col min="8" max="8" width="16" style="44" customWidth="1"/>
    <col min="9" max="9" width="18.54296875" style="44" customWidth="1"/>
    <col min="10" max="10" width="16" style="44" customWidth="1"/>
    <col min="11" max="11" width="22.1796875" style="44" customWidth="1"/>
    <col min="12" max="12" width="21.54296875" style="44" customWidth="1"/>
    <col min="13" max="13" width="17.54296875" style="44" customWidth="1"/>
    <col min="14" max="15" width="13.453125" style="44" customWidth="1"/>
    <col min="16" max="16" width="9.81640625" style="44" customWidth="1"/>
    <col min="17" max="17" width="22.26953125" style="44" customWidth="1"/>
    <col min="18" max="18" width="11.08984375" style="44" bestFit="1" customWidth="1"/>
    <col min="19" max="19" width="30.6328125" style="143" bestFit="1" customWidth="1"/>
    <col min="20" max="20" width="9.1796875" style="44"/>
    <col min="21" max="21" width="12.54296875" style="44" bestFit="1" customWidth="1"/>
    <col min="22" max="16384" width="9.1796875" style="44"/>
  </cols>
  <sheetData>
    <row r="1" spans="1:19" s="1" customFormat="1" ht="39">
      <c r="A1" s="47"/>
      <c r="B1" s="47"/>
      <c r="C1" s="47"/>
      <c r="D1" s="48"/>
      <c r="E1" s="47"/>
      <c r="F1" s="47"/>
      <c r="G1" s="47"/>
      <c r="H1" s="47"/>
      <c r="I1" s="47"/>
      <c r="J1" s="47"/>
      <c r="K1" s="47"/>
      <c r="L1" s="49"/>
      <c r="M1" s="49"/>
      <c r="N1" s="286" t="s">
        <v>68</v>
      </c>
      <c r="O1" s="286" t="s">
        <v>68</v>
      </c>
      <c r="P1" s="287" t="s">
        <v>69</v>
      </c>
      <c r="Q1" s="287"/>
      <c r="S1" s="130"/>
    </row>
    <row r="2" spans="1:19" s="1" customFormat="1" ht="24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9"/>
      <c r="M2" s="49"/>
      <c r="N2" s="286" t="s">
        <v>70</v>
      </c>
      <c r="O2" s="286" t="s">
        <v>70</v>
      </c>
      <c r="P2" s="288" t="s">
        <v>71</v>
      </c>
      <c r="Q2" s="288"/>
      <c r="S2" s="130"/>
    </row>
    <row r="3" spans="1:19" s="1" customFormat="1" ht="24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9"/>
      <c r="M3" s="49"/>
      <c r="N3" s="286" t="s">
        <v>72</v>
      </c>
      <c r="O3" s="286" t="s">
        <v>72</v>
      </c>
      <c r="P3" s="289" t="s">
        <v>74</v>
      </c>
      <c r="Q3" s="287"/>
      <c r="S3" s="130"/>
    </row>
    <row r="4" spans="1:19" s="2" customFormat="1" ht="38" customHeight="1" thickBot="1">
      <c r="B4" s="3" t="s">
        <v>311</v>
      </c>
      <c r="G4" s="4"/>
      <c r="S4" s="131"/>
    </row>
    <row r="5" spans="1:19" s="2" customFormat="1" ht="39">
      <c r="B5" s="5" t="s">
        <v>0</v>
      </c>
      <c r="C5" s="5"/>
      <c r="D5" s="3"/>
      <c r="F5" s="6"/>
      <c r="G5" s="290" t="s">
        <v>319</v>
      </c>
      <c r="H5" s="291"/>
      <c r="I5" s="291"/>
      <c r="J5" s="291"/>
      <c r="K5" s="291"/>
      <c r="L5" s="291"/>
      <c r="M5" s="292"/>
      <c r="S5" s="131"/>
    </row>
    <row r="6" spans="1:19" s="7" customFormat="1" ht="39">
      <c r="B6" s="8" t="s">
        <v>40</v>
      </c>
      <c r="C6" s="8"/>
      <c r="D6" s="63" t="s">
        <v>395</v>
      </c>
      <c r="E6" s="109"/>
      <c r="F6" s="8"/>
      <c r="G6" s="293"/>
      <c r="H6" s="294"/>
      <c r="I6" s="294"/>
      <c r="J6" s="294"/>
      <c r="K6" s="294"/>
      <c r="L6" s="294"/>
      <c r="M6" s="295"/>
      <c r="N6" s="10"/>
      <c r="O6" s="10"/>
      <c r="P6" s="10"/>
      <c r="Q6" s="10"/>
      <c r="S6" s="132"/>
    </row>
    <row r="7" spans="1:19" s="7" customFormat="1" ht="39">
      <c r="B7" s="8" t="s">
        <v>41</v>
      </c>
      <c r="C7" s="8"/>
      <c r="D7" s="63" t="s">
        <v>304</v>
      </c>
      <c r="E7" s="63"/>
      <c r="F7" s="8"/>
      <c r="G7" s="293"/>
      <c r="H7" s="294"/>
      <c r="I7" s="294"/>
      <c r="J7" s="294"/>
      <c r="K7" s="294"/>
      <c r="L7" s="294"/>
      <c r="M7" s="295"/>
      <c r="N7" s="10"/>
      <c r="O7" s="10"/>
      <c r="P7" s="10"/>
      <c r="Q7" s="10"/>
      <c r="S7" s="132"/>
    </row>
    <row r="8" spans="1:19" s="7" customFormat="1" ht="33" customHeight="1" thickBot="1">
      <c r="B8" s="8" t="s">
        <v>42</v>
      </c>
      <c r="C8" s="8"/>
      <c r="D8" s="9" t="s">
        <v>397</v>
      </c>
      <c r="E8" s="109"/>
      <c r="F8" s="109"/>
      <c r="G8" s="296"/>
      <c r="H8" s="297"/>
      <c r="I8" s="297"/>
      <c r="J8" s="297"/>
      <c r="K8" s="297"/>
      <c r="L8" s="297"/>
      <c r="M8" s="298"/>
      <c r="N8" s="10"/>
      <c r="O8" s="10"/>
      <c r="P8" s="10"/>
      <c r="Q8" s="10"/>
      <c r="S8" s="132"/>
    </row>
    <row r="9" spans="1:19" s="11" customFormat="1" ht="32.5">
      <c r="B9" s="12" t="s">
        <v>1</v>
      </c>
      <c r="C9" s="12"/>
      <c r="D9" s="67" t="s">
        <v>396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  <c r="Q9" s="14"/>
      <c r="S9" s="133"/>
    </row>
    <row r="10" spans="1:19" s="11" customFormat="1" ht="32.5">
      <c r="B10" s="110" t="s">
        <v>2</v>
      </c>
      <c r="C10" s="16"/>
      <c r="D10" s="66" t="s">
        <v>313</v>
      </c>
      <c r="E10" s="17"/>
      <c r="F10" s="17"/>
      <c r="G10" s="18"/>
      <c r="H10" s="17"/>
      <c r="I10" s="19"/>
      <c r="J10" s="74" t="s">
        <v>43</v>
      </c>
      <c r="K10" s="19"/>
      <c r="L10" s="19" t="s">
        <v>312</v>
      </c>
      <c r="M10" s="19"/>
      <c r="N10" s="20"/>
      <c r="O10" s="20"/>
      <c r="P10" s="20"/>
      <c r="Q10" s="20"/>
      <c r="S10" s="133"/>
    </row>
    <row r="11" spans="1:19" s="11" customFormat="1" ht="28" customHeight="1">
      <c r="B11" s="19" t="s">
        <v>3</v>
      </c>
      <c r="C11" s="19"/>
      <c r="D11" s="299"/>
      <c r="E11" s="300"/>
      <c r="F11" s="300"/>
      <c r="G11" s="21"/>
      <c r="H11" s="22"/>
      <c r="I11" s="19"/>
      <c r="J11" s="74" t="s">
        <v>4</v>
      </c>
      <c r="K11" s="19"/>
      <c r="L11" s="19" t="s">
        <v>306</v>
      </c>
      <c r="M11" s="19"/>
      <c r="N11" s="19"/>
      <c r="O11" s="19"/>
      <c r="P11" s="19"/>
      <c r="Q11" s="19"/>
      <c r="S11" s="133"/>
    </row>
    <row r="12" spans="1:19" s="11" customFormat="1" ht="32.5">
      <c r="B12" s="19" t="s">
        <v>5</v>
      </c>
      <c r="C12" s="19"/>
      <c r="D12" s="23"/>
      <c r="E12" s="19"/>
      <c r="F12" s="19"/>
      <c r="G12" s="24"/>
      <c r="H12" s="25"/>
      <c r="I12" s="19"/>
      <c r="J12" s="74" t="s">
        <v>38</v>
      </c>
      <c r="L12" s="19" t="s">
        <v>77</v>
      </c>
      <c r="M12" s="19"/>
      <c r="N12" s="19"/>
      <c r="O12" s="25"/>
      <c r="P12" s="25"/>
      <c r="Q12" s="20"/>
      <c r="S12" s="133"/>
    </row>
    <row r="13" spans="1:19" s="11" customFormat="1" ht="32.5">
      <c r="B13" s="301"/>
      <c r="C13" s="301"/>
      <c r="D13" s="301"/>
      <c r="E13" s="301"/>
      <c r="F13" s="301"/>
      <c r="G13" s="24"/>
      <c r="H13" s="25"/>
      <c r="I13" s="19"/>
      <c r="J13" s="74" t="s">
        <v>6</v>
      </c>
      <c r="K13" s="19"/>
      <c r="L13" s="19" t="s">
        <v>363</v>
      </c>
      <c r="M13" s="19"/>
      <c r="N13" s="25"/>
      <c r="O13" s="20"/>
      <c r="P13" s="20"/>
      <c r="Q13" s="25"/>
      <c r="S13" s="133"/>
    </row>
    <row r="14" spans="1:19" s="11" customFormat="1" ht="45">
      <c r="B14" s="19" t="s">
        <v>47</v>
      </c>
      <c r="C14" s="19"/>
      <c r="D14" s="19" t="s">
        <v>7</v>
      </c>
      <c r="E14" s="19"/>
      <c r="F14" s="19"/>
      <c r="G14" s="26"/>
      <c r="H14" s="19"/>
      <c r="I14" s="19"/>
      <c r="J14" s="74" t="s">
        <v>8</v>
      </c>
      <c r="K14" s="19"/>
      <c r="L14" s="162" t="s">
        <v>99</v>
      </c>
      <c r="M14" s="20"/>
      <c r="N14" s="20"/>
      <c r="O14" s="20"/>
      <c r="P14" s="20"/>
      <c r="Q14" s="20"/>
      <c r="S14" s="133"/>
    </row>
    <row r="15" spans="1:19" s="11" customFormat="1" ht="32.5" customHeight="1">
      <c r="B15" s="27" t="s">
        <v>60</v>
      </c>
      <c r="C15" s="27"/>
      <c r="D15" s="27"/>
      <c r="E15" s="12"/>
      <c r="F15" s="12"/>
      <c r="G15" s="28"/>
      <c r="H15" s="12"/>
      <c r="I15" s="12"/>
      <c r="J15" s="12"/>
      <c r="K15" s="12"/>
      <c r="L15" s="12"/>
      <c r="M15" s="12"/>
      <c r="N15" s="12"/>
      <c r="O15" s="12"/>
      <c r="P15" s="12"/>
      <c r="Q15" s="12"/>
      <c r="S15" s="133"/>
    </row>
    <row r="16" spans="1:19" s="29" customFormat="1" ht="18.75" customHeight="1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S16" s="134"/>
    </row>
    <row r="17" spans="2:21" s="93" customFormat="1" ht="37.5" customHeight="1">
      <c r="B17" s="89"/>
      <c r="C17" s="90" t="s">
        <v>67</v>
      </c>
      <c r="D17" s="90" t="s">
        <v>9</v>
      </c>
      <c r="E17" s="91" t="s">
        <v>52</v>
      </c>
      <c r="F17" s="91" t="s">
        <v>85</v>
      </c>
      <c r="G17" s="91" t="s">
        <v>56</v>
      </c>
      <c r="H17" s="91" t="s">
        <v>10</v>
      </c>
      <c r="I17" s="91" t="s">
        <v>53</v>
      </c>
      <c r="J17" s="91" t="s">
        <v>54</v>
      </c>
      <c r="K17" s="91" t="s">
        <v>100</v>
      </c>
      <c r="L17" s="91" t="s">
        <v>97</v>
      </c>
      <c r="M17" s="91"/>
      <c r="N17" s="91"/>
      <c r="O17" s="91"/>
      <c r="P17" s="91"/>
      <c r="Q17" s="92" t="s">
        <v>11</v>
      </c>
      <c r="S17" s="135"/>
    </row>
    <row r="18" spans="2:21" s="93" customFormat="1" ht="90">
      <c r="B18" s="94" t="s">
        <v>12</v>
      </c>
      <c r="C18" s="170" t="s">
        <v>305</v>
      </c>
      <c r="D18" s="95" t="s">
        <v>37</v>
      </c>
      <c r="E18" s="96"/>
      <c r="F18" s="192">
        <v>15</v>
      </c>
      <c r="G18" s="192">
        <v>46</v>
      </c>
      <c r="H18" s="192">
        <v>87</v>
      </c>
      <c r="I18" s="192">
        <v>78</v>
      </c>
      <c r="J18" s="192">
        <v>44</v>
      </c>
      <c r="K18" s="192">
        <v>20</v>
      </c>
      <c r="L18" s="192">
        <v>10</v>
      </c>
      <c r="M18" s="97"/>
      <c r="N18" s="97"/>
      <c r="O18" s="97"/>
      <c r="P18" s="97"/>
      <c r="Q18" s="98">
        <f>SUM(E18:P18)</f>
        <v>300</v>
      </c>
      <c r="S18" s="135"/>
    </row>
    <row r="19" spans="2:21" s="93" customFormat="1" ht="90">
      <c r="B19" s="94" t="s">
        <v>59</v>
      </c>
      <c r="C19" s="170" t="s">
        <v>305</v>
      </c>
      <c r="D19" s="96" t="str">
        <f>+D18</f>
        <v>BLACK</v>
      </c>
      <c r="E19" s="96"/>
      <c r="F19" s="192">
        <f>ROUNDUP(F18*0.03,0)</f>
        <v>1</v>
      </c>
      <c r="G19" s="192">
        <f t="shared" ref="G19:L19" si="0">ROUNDUP(G18*0.03,0)</f>
        <v>2</v>
      </c>
      <c r="H19" s="192">
        <f t="shared" si="0"/>
        <v>3</v>
      </c>
      <c r="I19" s="192">
        <f t="shared" si="0"/>
        <v>3</v>
      </c>
      <c r="J19" s="192">
        <f t="shared" si="0"/>
        <v>2</v>
      </c>
      <c r="K19" s="192">
        <f t="shared" si="0"/>
        <v>1</v>
      </c>
      <c r="L19" s="192">
        <f t="shared" si="0"/>
        <v>1</v>
      </c>
      <c r="M19" s="99"/>
      <c r="N19" s="99"/>
      <c r="O19" s="99"/>
      <c r="P19" s="99"/>
      <c r="Q19" s="98">
        <f>SUM(E19:P19)</f>
        <v>13</v>
      </c>
      <c r="S19" s="135"/>
    </row>
    <row r="20" spans="2:21" s="105" customFormat="1" ht="72" customHeight="1">
      <c r="B20" s="164" t="s">
        <v>270</v>
      </c>
      <c r="C20" s="165"/>
      <c r="D20" s="165"/>
      <c r="E20" s="166"/>
      <c r="F20" s="166">
        <v>0</v>
      </c>
      <c r="G20" s="167">
        <v>0</v>
      </c>
      <c r="H20" s="167">
        <v>3</v>
      </c>
      <c r="I20" s="167">
        <v>1</v>
      </c>
      <c r="J20" s="167">
        <v>1</v>
      </c>
      <c r="K20" s="167">
        <v>0</v>
      </c>
      <c r="L20" s="166">
        <v>0</v>
      </c>
      <c r="M20" s="168"/>
      <c r="N20" s="168"/>
      <c r="O20" s="168"/>
      <c r="P20" s="168"/>
      <c r="Q20" s="169">
        <f>SUM(F20:P20)</f>
        <v>5</v>
      </c>
    </row>
    <row r="21" spans="2:21" s="105" customFormat="1" ht="53.5">
      <c r="B21" s="100" t="s">
        <v>13</v>
      </c>
      <c r="C21" s="100"/>
      <c r="D21" s="101" t="str">
        <f>+D19</f>
        <v>BLACK</v>
      </c>
      <c r="E21" s="102"/>
      <c r="F21" s="104">
        <f>SUM(F18:F19)</f>
        <v>16</v>
      </c>
      <c r="G21" s="104">
        <f>SUM(G18:G19)</f>
        <v>48</v>
      </c>
      <c r="H21" s="104">
        <f>SUBTOTAL(9,H18:H20)</f>
        <v>93</v>
      </c>
      <c r="I21" s="104">
        <f t="shared" ref="I21:J21" si="1">SUBTOTAL(9,I18:I20)</f>
        <v>82</v>
      </c>
      <c r="J21" s="104">
        <f t="shared" si="1"/>
        <v>47</v>
      </c>
      <c r="K21" s="104">
        <f>SUM(K18:K19)</f>
        <v>21</v>
      </c>
      <c r="L21" s="104">
        <f>SUM(L18:L19)</f>
        <v>11</v>
      </c>
      <c r="M21" s="103"/>
      <c r="N21" s="103"/>
      <c r="O21" s="103"/>
      <c r="P21" s="103"/>
      <c r="Q21" s="103">
        <f>SUBTOTAL(9,Q18:Q20)</f>
        <v>318</v>
      </c>
      <c r="S21" s="144">
        <f>(Q21-Q18)/Q18</f>
        <v>0.06</v>
      </c>
    </row>
    <row r="22" spans="2:21" s="93" customFormat="1" ht="37.5" hidden="1" customHeight="1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S22" s="135"/>
    </row>
    <row r="23" spans="2:21" s="93" customFormat="1" ht="37.5" hidden="1" customHeight="1">
      <c r="B23" s="89"/>
      <c r="C23" s="90" t="s">
        <v>67</v>
      </c>
      <c r="D23" s="90" t="s">
        <v>9</v>
      </c>
      <c r="E23" s="91" t="s">
        <v>52</v>
      </c>
      <c r="F23" s="91" t="s">
        <v>85</v>
      </c>
      <c r="G23" s="91" t="s">
        <v>56</v>
      </c>
      <c r="H23" s="91" t="s">
        <v>10</v>
      </c>
      <c r="I23" s="91" t="s">
        <v>53</v>
      </c>
      <c r="J23" s="91" t="s">
        <v>54</v>
      </c>
      <c r="K23" s="91" t="s">
        <v>55</v>
      </c>
      <c r="L23" s="91" t="s">
        <v>97</v>
      </c>
      <c r="M23" s="91"/>
      <c r="N23" s="91"/>
      <c r="O23" s="91"/>
      <c r="P23" s="91"/>
      <c r="Q23" s="92" t="s">
        <v>11</v>
      </c>
      <c r="S23" s="135"/>
      <c r="U23" s="93">
        <v>20</v>
      </c>
    </row>
    <row r="24" spans="2:21" s="93" customFormat="1" ht="53.5" hidden="1">
      <c r="B24" s="94" t="s">
        <v>12</v>
      </c>
      <c r="C24" s="163"/>
      <c r="D24" s="95"/>
      <c r="E24" s="96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8">
        <f>SUM(E24:P24)</f>
        <v>0</v>
      </c>
      <c r="S24" s="135"/>
      <c r="U24" s="93">
        <v>10</v>
      </c>
    </row>
    <row r="25" spans="2:21" s="93" customFormat="1" ht="53.5" hidden="1">
      <c r="B25" s="94" t="s">
        <v>59</v>
      </c>
      <c r="C25" s="163">
        <f>C24</f>
        <v>0</v>
      </c>
      <c r="D25" s="96">
        <f>+D24</f>
        <v>0</v>
      </c>
      <c r="E25" s="96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8">
        <f>SUM(E25:P25)</f>
        <v>0</v>
      </c>
      <c r="S25" s="135"/>
    </row>
    <row r="26" spans="2:21" s="105" customFormat="1" ht="53.5" hidden="1">
      <c r="B26" s="100" t="s">
        <v>13</v>
      </c>
      <c r="C26" s="100"/>
      <c r="D26" s="101">
        <f>+D25</f>
        <v>0</v>
      </c>
      <c r="E26" s="102"/>
      <c r="F26" s="104">
        <f t="shared" ref="F26:L26" si="2">SUM(F24:F25)</f>
        <v>0</v>
      </c>
      <c r="G26" s="104">
        <f t="shared" si="2"/>
        <v>0</v>
      </c>
      <c r="H26" s="104">
        <f t="shared" si="2"/>
        <v>0</v>
      </c>
      <c r="I26" s="104">
        <f t="shared" si="2"/>
        <v>0</v>
      </c>
      <c r="J26" s="104">
        <f t="shared" si="2"/>
        <v>0</v>
      </c>
      <c r="K26" s="104">
        <f t="shared" si="2"/>
        <v>0</v>
      </c>
      <c r="L26" s="104">
        <f t="shared" si="2"/>
        <v>0</v>
      </c>
      <c r="M26" s="103"/>
      <c r="N26" s="103"/>
      <c r="O26" s="103"/>
      <c r="P26" s="103"/>
      <c r="Q26" s="103">
        <f>SUM(Q24:Q25)</f>
        <v>0</v>
      </c>
      <c r="S26" s="144" t="e">
        <f>Q25/Q24</f>
        <v>#DIV/0!</v>
      </c>
    </row>
    <row r="27" spans="2:21" s="105" customFormat="1" ht="49" hidden="1" customHeight="1">
      <c r="B27" s="164" t="s">
        <v>270</v>
      </c>
      <c r="C27" s="165"/>
      <c r="D27" s="165"/>
      <c r="E27" s="166"/>
      <c r="F27" s="166">
        <v>0</v>
      </c>
      <c r="G27" s="167">
        <v>0</v>
      </c>
      <c r="H27" s="167">
        <v>0</v>
      </c>
      <c r="I27" s="167">
        <v>0</v>
      </c>
      <c r="J27" s="167">
        <v>0</v>
      </c>
      <c r="K27" s="167">
        <v>0</v>
      </c>
      <c r="L27" s="166">
        <v>0</v>
      </c>
      <c r="M27" s="168"/>
      <c r="N27" s="168"/>
      <c r="O27" s="168"/>
      <c r="P27" s="168"/>
      <c r="Q27" s="169">
        <f>SUM(F27:P27)</f>
        <v>0</v>
      </c>
    </row>
    <row r="28" spans="2:21" s="93" customFormat="1" ht="37.5" hidden="1" customHeight="1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S28" s="135"/>
    </row>
    <row r="29" spans="2:21" s="93" customFormat="1" ht="37.5" hidden="1" customHeight="1">
      <c r="B29" s="89"/>
      <c r="C29" s="90" t="s">
        <v>67</v>
      </c>
      <c r="D29" s="90" t="s">
        <v>9</v>
      </c>
      <c r="E29" s="91" t="s">
        <v>52</v>
      </c>
      <c r="F29" s="91" t="s">
        <v>85</v>
      </c>
      <c r="G29" s="91" t="s">
        <v>56</v>
      </c>
      <c r="H29" s="91" t="s">
        <v>10</v>
      </c>
      <c r="I29" s="91" t="s">
        <v>53</v>
      </c>
      <c r="J29" s="91" t="s">
        <v>54</v>
      </c>
      <c r="K29" s="91" t="s">
        <v>55</v>
      </c>
      <c r="L29" s="91" t="s">
        <v>97</v>
      </c>
      <c r="M29" s="91"/>
      <c r="N29" s="91"/>
      <c r="O29" s="91"/>
      <c r="P29" s="91"/>
      <c r="Q29" s="92" t="s">
        <v>11</v>
      </c>
      <c r="S29" s="135"/>
    </row>
    <row r="30" spans="2:21" s="93" customFormat="1" ht="53.5" hidden="1">
      <c r="B30" s="94" t="s">
        <v>12</v>
      </c>
      <c r="C30" s="163" t="s">
        <v>267</v>
      </c>
      <c r="D30" s="95" t="s">
        <v>259</v>
      </c>
      <c r="E30" s="96"/>
      <c r="F30" s="96" t="s">
        <v>269</v>
      </c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8">
        <f>SUM(E30:P30)</f>
        <v>0</v>
      </c>
      <c r="S30" s="135"/>
    </row>
    <row r="31" spans="2:21" s="93" customFormat="1" ht="53.5" hidden="1">
      <c r="B31" s="94" t="s">
        <v>59</v>
      </c>
      <c r="C31" s="163" t="str">
        <f>C30</f>
        <v>M-0124-KT-4419-OA</v>
      </c>
      <c r="D31" s="96" t="str">
        <f>+D30</f>
        <v>OPEN AIR</v>
      </c>
      <c r="E31" s="96"/>
      <c r="F31" s="99"/>
      <c r="G31" s="99">
        <f t="shared" ref="G31:L31" si="3">ROUNDUP(G30*4%,0)</f>
        <v>0</v>
      </c>
      <c r="H31" s="99">
        <f t="shared" si="3"/>
        <v>0</v>
      </c>
      <c r="I31" s="99">
        <f t="shared" si="3"/>
        <v>0</v>
      </c>
      <c r="J31" s="99">
        <f t="shared" si="3"/>
        <v>0</v>
      </c>
      <c r="K31" s="99">
        <f t="shared" si="3"/>
        <v>0</v>
      </c>
      <c r="L31" s="99">
        <f t="shared" si="3"/>
        <v>0</v>
      </c>
      <c r="M31" s="99"/>
      <c r="N31" s="99"/>
      <c r="O31" s="99"/>
      <c r="P31" s="99"/>
      <c r="Q31" s="98">
        <f>SUM(E31:P31)</f>
        <v>0</v>
      </c>
      <c r="S31" s="135"/>
    </row>
    <row r="32" spans="2:21" s="105" customFormat="1" ht="53.5" hidden="1">
      <c r="B32" s="100" t="s">
        <v>13</v>
      </c>
      <c r="C32" s="100"/>
      <c r="D32" s="101" t="str">
        <f>+D31</f>
        <v>OPEN AIR</v>
      </c>
      <c r="E32" s="102"/>
      <c r="F32" s="104">
        <f t="shared" ref="F32:L32" si="4">SUM(F30:F31)</f>
        <v>0</v>
      </c>
      <c r="G32" s="104">
        <f t="shared" si="4"/>
        <v>0</v>
      </c>
      <c r="H32" s="104">
        <f t="shared" si="4"/>
        <v>0</v>
      </c>
      <c r="I32" s="104">
        <f t="shared" si="4"/>
        <v>0</v>
      </c>
      <c r="J32" s="104">
        <f t="shared" si="4"/>
        <v>0</v>
      </c>
      <c r="K32" s="104">
        <f t="shared" si="4"/>
        <v>0</v>
      </c>
      <c r="L32" s="104">
        <f t="shared" si="4"/>
        <v>0</v>
      </c>
      <c r="M32" s="103"/>
      <c r="N32" s="103"/>
      <c r="O32" s="103"/>
      <c r="P32" s="103"/>
      <c r="Q32" s="103">
        <f>SUM(Q30:Q31)</f>
        <v>0</v>
      </c>
      <c r="S32" s="144" t="e">
        <f>Q31/Q30</f>
        <v>#DIV/0!</v>
      </c>
    </row>
    <row r="33" spans="2:19" s="105" customFormat="1" ht="49" hidden="1" customHeight="1">
      <c r="B33" s="164" t="s">
        <v>270</v>
      </c>
      <c r="C33" s="165"/>
      <c r="D33" s="165"/>
      <c r="E33" s="166"/>
      <c r="F33" s="166">
        <v>0</v>
      </c>
      <c r="G33" s="167">
        <v>0</v>
      </c>
      <c r="H33" s="166">
        <v>3</v>
      </c>
      <c r="I33" s="166">
        <v>1</v>
      </c>
      <c r="J33" s="166">
        <v>1</v>
      </c>
      <c r="K33" s="166">
        <v>0</v>
      </c>
      <c r="L33" s="166">
        <v>0</v>
      </c>
      <c r="M33" s="168"/>
      <c r="N33" s="168"/>
      <c r="O33" s="168"/>
      <c r="P33" s="168"/>
      <c r="Q33" s="169">
        <f>SUM(F33:P33)</f>
        <v>5</v>
      </c>
    </row>
    <row r="34" spans="2:19" s="93" customFormat="1" ht="37.5" hidden="1" customHeight="1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S34" s="135"/>
    </row>
    <row r="35" spans="2:19" s="93" customFormat="1" ht="37.5" hidden="1" customHeight="1">
      <c r="B35" s="89"/>
      <c r="C35" s="90" t="s">
        <v>67</v>
      </c>
      <c r="D35" s="90" t="s">
        <v>9</v>
      </c>
      <c r="E35" s="91" t="s">
        <v>52</v>
      </c>
      <c r="F35" s="91" t="s">
        <v>85</v>
      </c>
      <c r="G35" s="91" t="s">
        <v>56</v>
      </c>
      <c r="H35" s="91" t="s">
        <v>10</v>
      </c>
      <c r="I35" s="91" t="s">
        <v>53</v>
      </c>
      <c r="J35" s="91" t="s">
        <v>54</v>
      </c>
      <c r="K35" s="91" t="s">
        <v>55</v>
      </c>
      <c r="L35" s="91" t="s">
        <v>97</v>
      </c>
      <c r="M35" s="91"/>
      <c r="N35" s="91"/>
      <c r="O35" s="91"/>
      <c r="P35" s="91"/>
      <c r="Q35" s="92" t="s">
        <v>11</v>
      </c>
      <c r="S35" s="135"/>
    </row>
    <row r="36" spans="2:19" s="93" customFormat="1" ht="53.5" hidden="1">
      <c r="B36" s="94" t="s">
        <v>12</v>
      </c>
      <c r="C36" s="163" t="s">
        <v>268</v>
      </c>
      <c r="D36" s="95" t="s">
        <v>260</v>
      </c>
      <c r="E36" s="96"/>
      <c r="F36" s="96" t="s">
        <v>269</v>
      </c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8">
        <f>SUM(E36:P36)</f>
        <v>0</v>
      </c>
      <c r="S36" s="135"/>
    </row>
    <row r="37" spans="2:19" s="93" customFormat="1" ht="53.5" hidden="1">
      <c r="B37" s="94" t="s">
        <v>59</v>
      </c>
      <c r="C37" s="163" t="str">
        <f>C36</f>
        <v>M-0124-KT-4419-SD</v>
      </c>
      <c r="D37" s="96" t="str">
        <f>+D36</f>
        <v>SAND</v>
      </c>
      <c r="E37" s="96"/>
      <c r="F37" s="99"/>
      <c r="G37" s="99">
        <f t="shared" ref="G37:L37" si="5">ROUNDUP(G36*15%,0)</f>
        <v>0</v>
      </c>
      <c r="H37" s="99">
        <f t="shared" si="5"/>
        <v>0</v>
      </c>
      <c r="I37" s="99">
        <f t="shared" si="5"/>
        <v>0</v>
      </c>
      <c r="J37" s="99">
        <f t="shared" si="5"/>
        <v>0</v>
      </c>
      <c r="K37" s="99">
        <f t="shared" si="5"/>
        <v>0</v>
      </c>
      <c r="L37" s="99">
        <f t="shared" si="5"/>
        <v>0</v>
      </c>
      <c r="M37" s="99"/>
      <c r="N37" s="99"/>
      <c r="O37" s="99"/>
      <c r="P37" s="99"/>
      <c r="Q37" s="98">
        <f>SUM(E37:P37)</f>
        <v>0</v>
      </c>
      <c r="S37" s="135"/>
    </row>
    <row r="38" spans="2:19" s="105" customFormat="1" ht="53.5" hidden="1">
      <c r="B38" s="100" t="s">
        <v>13</v>
      </c>
      <c r="C38" s="100"/>
      <c r="D38" s="101" t="str">
        <f>+D37</f>
        <v>SAND</v>
      </c>
      <c r="E38" s="102"/>
      <c r="F38" s="104">
        <f t="shared" ref="F38:L38" si="6">SUM(F36:F37)</f>
        <v>0</v>
      </c>
      <c r="G38" s="104">
        <f t="shared" si="6"/>
        <v>0</v>
      </c>
      <c r="H38" s="104">
        <f t="shared" si="6"/>
        <v>0</v>
      </c>
      <c r="I38" s="104">
        <f t="shared" si="6"/>
        <v>0</v>
      </c>
      <c r="J38" s="104">
        <f t="shared" si="6"/>
        <v>0</v>
      </c>
      <c r="K38" s="104">
        <f t="shared" si="6"/>
        <v>0</v>
      </c>
      <c r="L38" s="104">
        <f t="shared" si="6"/>
        <v>0</v>
      </c>
      <c r="M38" s="103"/>
      <c r="N38" s="103"/>
      <c r="O38" s="103"/>
      <c r="P38" s="103"/>
      <c r="Q38" s="103">
        <f>SUM(Q36:Q37)</f>
        <v>0</v>
      </c>
      <c r="S38" s="144" t="e">
        <f>Q37/Q36</f>
        <v>#DIV/0!</v>
      </c>
    </row>
    <row r="39" spans="2:19" s="93" customFormat="1" ht="37.5" hidden="1" customHeight="1"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S39" s="135"/>
    </row>
    <row r="40" spans="2:19" s="93" customFormat="1" ht="37.5" hidden="1" customHeight="1">
      <c r="B40" s="89"/>
      <c r="C40" s="90" t="s">
        <v>67</v>
      </c>
      <c r="D40" s="90" t="s">
        <v>9</v>
      </c>
      <c r="E40" s="91" t="s">
        <v>52</v>
      </c>
      <c r="F40" s="91" t="s">
        <v>85</v>
      </c>
      <c r="G40" s="91" t="s">
        <v>56</v>
      </c>
      <c r="H40" s="91" t="s">
        <v>10</v>
      </c>
      <c r="I40" s="91" t="s">
        <v>53</v>
      </c>
      <c r="J40" s="91" t="s">
        <v>54</v>
      </c>
      <c r="K40" s="91" t="s">
        <v>55</v>
      </c>
      <c r="L40" s="91" t="s">
        <v>97</v>
      </c>
      <c r="M40" s="91"/>
      <c r="N40" s="91"/>
      <c r="O40" s="91"/>
      <c r="P40" s="91"/>
      <c r="Q40" s="92" t="s">
        <v>11</v>
      </c>
      <c r="S40" s="135"/>
    </row>
    <row r="41" spans="2:19" s="93" customFormat="1" ht="53.5" hidden="1">
      <c r="B41" s="94" t="s">
        <v>12</v>
      </c>
      <c r="C41" s="163"/>
      <c r="D41" s="95"/>
      <c r="E41" s="96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8">
        <f>SUM(E41:P41)</f>
        <v>0</v>
      </c>
      <c r="S41" s="135"/>
    </row>
    <row r="42" spans="2:19" s="93" customFormat="1" ht="53.5" hidden="1">
      <c r="B42" s="94" t="s">
        <v>59</v>
      </c>
      <c r="C42" s="163"/>
      <c r="D42" s="96">
        <f>+D41</f>
        <v>0</v>
      </c>
      <c r="E42" s="96"/>
      <c r="F42" s="99">
        <v>0</v>
      </c>
      <c r="G42" s="99">
        <f>ROUNDUP(G41*5%,0)</f>
        <v>0</v>
      </c>
      <c r="H42" s="99">
        <f t="shared" ref="H42:L42" si="7">ROUNDUP(H41*5%,0)</f>
        <v>0</v>
      </c>
      <c r="I42" s="99">
        <f t="shared" si="7"/>
        <v>0</v>
      </c>
      <c r="J42" s="99">
        <f t="shared" si="7"/>
        <v>0</v>
      </c>
      <c r="K42" s="99">
        <f t="shared" si="7"/>
        <v>0</v>
      </c>
      <c r="L42" s="99">
        <f t="shared" si="7"/>
        <v>0</v>
      </c>
      <c r="M42" s="99"/>
      <c r="N42" s="99"/>
      <c r="O42" s="99"/>
      <c r="P42" s="99"/>
      <c r="Q42" s="98">
        <f>SUM(E42:P42)</f>
        <v>0</v>
      </c>
      <c r="S42" s="135"/>
    </row>
    <row r="43" spans="2:19" s="105" customFormat="1" ht="53.5" hidden="1">
      <c r="B43" s="100" t="s">
        <v>13</v>
      </c>
      <c r="C43" s="100"/>
      <c r="D43" s="101">
        <f>+D42</f>
        <v>0</v>
      </c>
      <c r="E43" s="102"/>
      <c r="F43" s="104">
        <v>0</v>
      </c>
      <c r="G43" s="104">
        <f>SUM(G41:G42)</f>
        <v>0</v>
      </c>
      <c r="H43" s="104">
        <f t="shared" ref="H43:K43" si="8">SUM(H41:H42)</f>
        <v>0</v>
      </c>
      <c r="I43" s="104">
        <f t="shared" si="8"/>
        <v>0</v>
      </c>
      <c r="J43" s="104">
        <f t="shared" si="8"/>
        <v>0</v>
      </c>
      <c r="K43" s="104">
        <f t="shared" si="8"/>
        <v>0</v>
      </c>
      <c r="L43" s="104">
        <v>0</v>
      </c>
      <c r="M43" s="103"/>
      <c r="N43" s="103"/>
      <c r="O43" s="103"/>
      <c r="P43" s="103"/>
      <c r="Q43" s="103">
        <f>SUM(Q41:Q42)</f>
        <v>0</v>
      </c>
      <c r="S43" s="144" t="e">
        <f>Q42/Q41</f>
        <v>#DIV/0!</v>
      </c>
    </row>
    <row r="44" spans="2:19" s="105" customFormat="1" ht="49" hidden="1" customHeight="1">
      <c r="B44" s="164" t="s">
        <v>270</v>
      </c>
      <c r="C44" s="165"/>
      <c r="D44" s="165"/>
      <c r="E44" s="166"/>
      <c r="F44" s="166">
        <v>0</v>
      </c>
      <c r="G44" s="167">
        <v>0</v>
      </c>
      <c r="H44" s="166">
        <v>3</v>
      </c>
      <c r="I44" s="166">
        <v>1</v>
      </c>
      <c r="J44" s="166">
        <v>1</v>
      </c>
      <c r="K44" s="166">
        <v>0</v>
      </c>
      <c r="L44" s="166">
        <v>0</v>
      </c>
      <c r="M44" s="168"/>
      <c r="N44" s="168"/>
      <c r="O44" s="168"/>
      <c r="P44" s="168"/>
      <c r="Q44" s="169">
        <f>SUM(F44:P44)</f>
        <v>5</v>
      </c>
    </row>
    <row r="45" spans="2:19" s="93" customFormat="1" ht="37.5" hidden="1" customHeight="1"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S45" s="135"/>
    </row>
    <row r="46" spans="2:19" s="93" customFormat="1" ht="37.5" hidden="1" customHeight="1">
      <c r="B46" s="89"/>
      <c r="C46" s="90" t="s">
        <v>67</v>
      </c>
      <c r="D46" s="90" t="s">
        <v>9</v>
      </c>
      <c r="E46" s="91" t="s">
        <v>52</v>
      </c>
      <c r="F46" s="91" t="s">
        <v>85</v>
      </c>
      <c r="G46" s="91" t="s">
        <v>56</v>
      </c>
      <c r="H46" s="91" t="s">
        <v>10</v>
      </c>
      <c r="I46" s="91" t="s">
        <v>53</v>
      </c>
      <c r="J46" s="91" t="s">
        <v>54</v>
      </c>
      <c r="K46" s="91" t="s">
        <v>100</v>
      </c>
      <c r="L46" s="91" t="s">
        <v>97</v>
      </c>
      <c r="M46" s="91"/>
      <c r="N46" s="91"/>
      <c r="O46" s="91"/>
      <c r="P46" s="91"/>
      <c r="Q46" s="92" t="s">
        <v>11</v>
      </c>
      <c r="S46" s="135"/>
    </row>
    <row r="47" spans="2:19" s="93" customFormat="1" ht="90" hidden="1">
      <c r="B47" s="94" t="s">
        <v>12</v>
      </c>
      <c r="C47" s="170" t="s">
        <v>305</v>
      </c>
      <c r="D47" s="95" t="s">
        <v>307</v>
      </c>
      <c r="E47" s="96"/>
      <c r="F47" s="104">
        <f t="shared" ref="F47:G47" si="9">SUM(F45:F46)</f>
        <v>0</v>
      </c>
      <c r="G47" s="104">
        <f t="shared" si="9"/>
        <v>0</v>
      </c>
      <c r="H47" s="104">
        <v>1</v>
      </c>
      <c r="I47" s="104">
        <f t="shared" ref="I47:L47" si="10">SUM(I45:I46)</f>
        <v>0</v>
      </c>
      <c r="J47" s="104">
        <f t="shared" si="10"/>
        <v>0</v>
      </c>
      <c r="K47" s="104">
        <f t="shared" si="10"/>
        <v>0</v>
      </c>
      <c r="L47" s="104">
        <f t="shared" si="10"/>
        <v>0</v>
      </c>
      <c r="M47" s="97"/>
      <c r="N47" s="97"/>
      <c r="O47" s="97"/>
      <c r="P47" s="97"/>
      <c r="Q47" s="98">
        <f>SUM(E47:P47)</f>
        <v>1</v>
      </c>
      <c r="S47" s="135"/>
    </row>
    <row r="48" spans="2:19" s="93" customFormat="1" ht="90" hidden="1">
      <c r="B48" s="94" t="s">
        <v>59</v>
      </c>
      <c r="C48" s="170" t="s">
        <v>305</v>
      </c>
      <c r="D48" s="96" t="str">
        <f>+D47</f>
        <v>OGRANGE</v>
      </c>
      <c r="E48" s="96"/>
      <c r="F48" s="104">
        <f t="shared" ref="F48:G48" si="11">SUM(F46:F47)</f>
        <v>0</v>
      </c>
      <c r="G48" s="104">
        <f t="shared" si="11"/>
        <v>0</v>
      </c>
      <c r="H48" s="104">
        <v>1</v>
      </c>
      <c r="I48" s="104">
        <f t="shared" ref="I48:L48" si="12">SUM(I46:I47)</f>
        <v>0</v>
      </c>
      <c r="J48" s="104">
        <f t="shared" si="12"/>
        <v>0</v>
      </c>
      <c r="K48" s="104">
        <f t="shared" si="12"/>
        <v>0</v>
      </c>
      <c r="L48" s="104">
        <f t="shared" si="12"/>
        <v>0</v>
      </c>
      <c r="M48" s="99"/>
      <c r="N48" s="99"/>
      <c r="O48" s="99"/>
      <c r="P48" s="99"/>
      <c r="Q48" s="98">
        <f>SUM(E48:P48)</f>
        <v>1</v>
      </c>
      <c r="S48" s="135"/>
    </row>
    <row r="49" spans="2:19" s="105" customFormat="1" ht="53.5" hidden="1">
      <c r="B49" s="100" t="s">
        <v>13</v>
      </c>
      <c r="C49" s="100"/>
      <c r="D49" s="101" t="str">
        <f>+D48</f>
        <v>OGRANGE</v>
      </c>
      <c r="E49" s="102"/>
      <c r="F49" s="104">
        <f t="shared" ref="F49:L49" si="13">SUM(F47:F48)</f>
        <v>0</v>
      </c>
      <c r="G49" s="104">
        <f t="shared" si="13"/>
        <v>0</v>
      </c>
      <c r="H49" s="104">
        <f t="shared" si="13"/>
        <v>2</v>
      </c>
      <c r="I49" s="104">
        <f t="shared" si="13"/>
        <v>0</v>
      </c>
      <c r="J49" s="104">
        <f t="shared" si="13"/>
        <v>0</v>
      </c>
      <c r="K49" s="104">
        <f t="shared" si="13"/>
        <v>0</v>
      </c>
      <c r="L49" s="104">
        <f t="shared" si="13"/>
        <v>0</v>
      </c>
      <c r="M49" s="103"/>
      <c r="N49" s="103"/>
      <c r="O49" s="103"/>
      <c r="P49" s="103"/>
      <c r="Q49" s="103">
        <f>SUM(Q47:Q48)</f>
        <v>2</v>
      </c>
      <c r="S49" s="144">
        <f>Q48/Q47</f>
        <v>1</v>
      </c>
    </row>
    <row r="50" spans="2:19" s="93" customFormat="1" ht="37.5" hidden="1" customHeight="1"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S50" s="135"/>
    </row>
    <row r="51" spans="2:19" s="93" customFormat="1" ht="37.5" hidden="1" customHeight="1">
      <c r="B51" s="89"/>
      <c r="C51" s="90" t="s">
        <v>67</v>
      </c>
      <c r="D51" s="90" t="s">
        <v>9</v>
      </c>
      <c r="E51" s="91" t="s">
        <v>52</v>
      </c>
      <c r="F51" s="91" t="s">
        <v>85</v>
      </c>
      <c r="G51" s="91" t="s">
        <v>56</v>
      </c>
      <c r="H51" s="91" t="s">
        <v>10</v>
      </c>
      <c r="I51" s="91" t="s">
        <v>53</v>
      </c>
      <c r="J51" s="91" t="s">
        <v>54</v>
      </c>
      <c r="K51" s="91" t="s">
        <v>100</v>
      </c>
      <c r="L51" s="91" t="s">
        <v>97</v>
      </c>
      <c r="M51" s="91"/>
      <c r="N51" s="91"/>
      <c r="O51" s="91"/>
      <c r="P51" s="91"/>
      <c r="Q51" s="92" t="s">
        <v>11</v>
      </c>
      <c r="S51" s="135"/>
    </row>
    <row r="52" spans="2:19" s="93" customFormat="1" ht="90" hidden="1">
      <c r="B52" s="94" t="s">
        <v>12</v>
      </c>
      <c r="C52" s="170" t="s">
        <v>305</v>
      </c>
      <c r="D52" s="95" t="s">
        <v>320</v>
      </c>
      <c r="E52" s="96"/>
      <c r="F52" s="192">
        <v>11</v>
      </c>
      <c r="G52" s="192">
        <v>31</v>
      </c>
      <c r="H52" s="192">
        <v>58</v>
      </c>
      <c r="I52" s="192">
        <v>52</v>
      </c>
      <c r="J52" s="192">
        <v>29</v>
      </c>
      <c r="K52" s="192">
        <v>12</v>
      </c>
      <c r="L52" s="192">
        <v>7</v>
      </c>
      <c r="M52" s="97"/>
      <c r="N52" s="97"/>
      <c r="O52" s="97"/>
      <c r="P52" s="97"/>
      <c r="Q52" s="98">
        <f>SUM(E52:P52)</f>
        <v>200</v>
      </c>
      <c r="S52" s="135"/>
    </row>
    <row r="53" spans="2:19" s="93" customFormat="1" ht="90" hidden="1">
      <c r="B53" s="94" t="s">
        <v>59</v>
      </c>
      <c r="C53" s="170" t="s">
        <v>305</v>
      </c>
      <c r="D53" s="96" t="str">
        <f>+D52</f>
        <v>PUFFINS BILL</v>
      </c>
      <c r="E53" s="96"/>
      <c r="F53" s="192">
        <f>ROUNDUP(F52*0.035,0)</f>
        <v>1</v>
      </c>
      <c r="G53" s="192">
        <f t="shared" ref="G53:L53" si="14">ROUNDUP(G52*0.035,0)</f>
        <v>2</v>
      </c>
      <c r="H53" s="192">
        <f t="shared" si="14"/>
        <v>3</v>
      </c>
      <c r="I53" s="192">
        <f t="shared" si="14"/>
        <v>2</v>
      </c>
      <c r="J53" s="192">
        <f t="shared" si="14"/>
        <v>2</v>
      </c>
      <c r="K53" s="192">
        <f t="shared" si="14"/>
        <v>1</v>
      </c>
      <c r="L53" s="192">
        <f t="shared" si="14"/>
        <v>1</v>
      </c>
      <c r="M53" s="99"/>
      <c r="N53" s="99"/>
      <c r="O53" s="99"/>
      <c r="P53" s="99"/>
      <c r="Q53" s="98">
        <f>SUM(E53:P53)</f>
        <v>12</v>
      </c>
      <c r="S53" s="135"/>
    </row>
    <row r="54" spans="2:19" s="105" customFormat="1" ht="72" hidden="1" customHeight="1">
      <c r="B54" s="164" t="s">
        <v>270</v>
      </c>
      <c r="C54" s="165"/>
      <c r="D54" s="165"/>
      <c r="E54" s="166"/>
      <c r="F54" s="166">
        <v>0</v>
      </c>
      <c r="G54" s="167">
        <v>0</v>
      </c>
      <c r="H54" s="167">
        <v>3</v>
      </c>
      <c r="I54" s="167">
        <v>1</v>
      </c>
      <c r="J54" s="167">
        <v>1</v>
      </c>
      <c r="K54" s="167">
        <v>0</v>
      </c>
      <c r="L54" s="166">
        <v>0</v>
      </c>
      <c r="M54" s="168"/>
      <c r="N54" s="168"/>
      <c r="O54" s="168"/>
      <c r="P54" s="168"/>
      <c r="Q54" s="169">
        <f>SUM(F54:P54)</f>
        <v>5</v>
      </c>
    </row>
    <row r="55" spans="2:19" s="105" customFormat="1" ht="53.5" hidden="1">
      <c r="B55" s="100" t="s">
        <v>13</v>
      </c>
      <c r="C55" s="100"/>
      <c r="D55" s="101" t="str">
        <f>+D53</f>
        <v>PUFFINS BILL</v>
      </c>
      <c r="E55" s="102"/>
      <c r="F55" s="104">
        <f t="shared" ref="F55:L55" si="15">SUM(F52:F53)</f>
        <v>12</v>
      </c>
      <c r="G55" s="104">
        <f t="shared" si="15"/>
        <v>33</v>
      </c>
      <c r="H55" s="104">
        <f>SUBTOTAL(9,H52:H54)</f>
        <v>64</v>
      </c>
      <c r="I55" s="104">
        <f t="shared" ref="I55:J55" si="16">SUBTOTAL(9,I52:I54)</f>
        <v>55</v>
      </c>
      <c r="J55" s="104">
        <f t="shared" si="16"/>
        <v>32</v>
      </c>
      <c r="K55" s="104">
        <f t="shared" si="15"/>
        <v>13</v>
      </c>
      <c r="L55" s="104">
        <f t="shared" si="15"/>
        <v>8</v>
      </c>
      <c r="M55" s="103"/>
      <c r="N55" s="103"/>
      <c r="O55" s="103"/>
      <c r="P55" s="103"/>
      <c r="Q55" s="103">
        <f>SUM(Q52:Q53)</f>
        <v>212</v>
      </c>
      <c r="S55" s="144">
        <f>(Q55-Q52)/Q52</f>
        <v>0.06</v>
      </c>
    </row>
    <row r="56" spans="2:19" s="93" customFormat="1" ht="37.5" hidden="1" customHeight="1"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S56" s="135"/>
    </row>
    <row r="57" spans="2:19" s="93" customFormat="1" ht="37.5" hidden="1" customHeight="1">
      <c r="B57" s="89"/>
      <c r="C57" s="90" t="s">
        <v>67</v>
      </c>
      <c r="D57" s="90" t="s">
        <v>9</v>
      </c>
      <c r="E57" s="91" t="s">
        <v>52</v>
      </c>
      <c r="F57" s="91" t="s">
        <v>85</v>
      </c>
      <c r="G57" s="91" t="s">
        <v>56</v>
      </c>
      <c r="H57" s="91" t="s">
        <v>10</v>
      </c>
      <c r="I57" s="91" t="s">
        <v>53</v>
      </c>
      <c r="J57" s="91" t="s">
        <v>54</v>
      </c>
      <c r="K57" s="91" t="s">
        <v>100</v>
      </c>
      <c r="L57" s="91" t="s">
        <v>97</v>
      </c>
      <c r="M57" s="91"/>
      <c r="N57" s="91"/>
      <c r="O57" s="91"/>
      <c r="P57" s="91"/>
      <c r="Q57" s="92" t="s">
        <v>11</v>
      </c>
      <c r="S57" s="135"/>
    </row>
    <row r="58" spans="2:19" s="93" customFormat="1" ht="90" hidden="1">
      <c r="B58" s="94" t="s">
        <v>12</v>
      </c>
      <c r="C58" s="170" t="s">
        <v>305</v>
      </c>
      <c r="D58" s="95" t="s">
        <v>321</v>
      </c>
      <c r="E58" s="96"/>
      <c r="F58" s="192">
        <v>11</v>
      </c>
      <c r="G58" s="192">
        <v>31</v>
      </c>
      <c r="H58" s="192">
        <v>58</v>
      </c>
      <c r="I58" s="192">
        <v>52</v>
      </c>
      <c r="J58" s="192">
        <v>29</v>
      </c>
      <c r="K58" s="192">
        <v>12</v>
      </c>
      <c r="L58" s="192">
        <v>7</v>
      </c>
      <c r="M58" s="97"/>
      <c r="N58" s="97"/>
      <c r="O58" s="97"/>
      <c r="P58" s="97"/>
      <c r="Q58" s="98">
        <f>SUM(E58:P58)</f>
        <v>200</v>
      </c>
      <c r="S58" s="135"/>
    </row>
    <row r="59" spans="2:19" s="93" customFormat="1" ht="90" hidden="1">
      <c r="B59" s="94" t="s">
        <v>59</v>
      </c>
      <c r="C59" s="170" t="s">
        <v>305</v>
      </c>
      <c r="D59" s="96" t="str">
        <f>+D58</f>
        <v>CAMO</v>
      </c>
      <c r="E59" s="96"/>
      <c r="F59" s="192">
        <f>ROUNDUP(F58*0.035,0)</f>
        <v>1</v>
      </c>
      <c r="G59" s="192">
        <f t="shared" ref="G59" si="17">ROUNDUP(G58*0.035,0)</f>
        <v>2</v>
      </c>
      <c r="H59" s="192">
        <f t="shared" ref="H59" si="18">ROUNDUP(H58*0.035,0)</f>
        <v>3</v>
      </c>
      <c r="I59" s="192">
        <f t="shared" ref="I59" si="19">ROUNDUP(I58*0.035,0)</f>
        <v>2</v>
      </c>
      <c r="J59" s="192">
        <f t="shared" ref="J59" si="20">ROUNDUP(J58*0.035,0)</f>
        <v>2</v>
      </c>
      <c r="K59" s="192">
        <f t="shared" ref="K59" si="21">ROUNDUP(K58*0.035,0)</f>
        <v>1</v>
      </c>
      <c r="L59" s="192">
        <f t="shared" ref="L59" si="22">ROUNDUP(L58*0.035,0)</f>
        <v>1</v>
      </c>
      <c r="M59" s="99"/>
      <c r="N59" s="99"/>
      <c r="O59" s="99"/>
      <c r="P59" s="99"/>
      <c r="Q59" s="98">
        <f>SUM(E59:P59)</f>
        <v>12</v>
      </c>
      <c r="S59" s="135"/>
    </row>
    <row r="60" spans="2:19" s="105" customFormat="1" ht="72" hidden="1" customHeight="1">
      <c r="B60" s="164" t="s">
        <v>270</v>
      </c>
      <c r="C60" s="165"/>
      <c r="D60" s="165"/>
      <c r="E60" s="166"/>
      <c r="F60" s="166">
        <v>0</v>
      </c>
      <c r="G60" s="167">
        <v>0</v>
      </c>
      <c r="H60" s="167">
        <v>3</v>
      </c>
      <c r="I60" s="167">
        <v>1</v>
      </c>
      <c r="J60" s="167">
        <v>1</v>
      </c>
      <c r="K60" s="167">
        <v>0</v>
      </c>
      <c r="L60" s="166">
        <v>0</v>
      </c>
      <c r="M60" s="168"/>
      <c r="N60" s="168"/>
      <c r="O60" s="168"/>
      <c r="P60" s="168"/>
      <c r="Q60" s="169">
        <f>SUM(F60:P60)</f>
        <v>5</v>
      </c>
    </row>
    <row r="61" spans="2:19" s="105" customFormat="1" ht="53.5" hidden="1">
      <c r="B61" s="100" t="s">
        <v>13</v>
      </c>
      <c r="C61" s="100"/>
      <c r="D61" s="101" t="str">
        <f>+D59</f>
        <v>CAMO</v>
      </c>
      <c r="E61" s="102"/>
      <c r="F61" s="104">
        <f t="shared" ref="F61:G61" si="23">SUM(F58:F59)</f>
        <v>12</v>
      </c>
      <c r="G61" s="104">
        <f t="shared" si="23"/>
        <v>33</v>
      </c>
      <c r="H61" s="104">
        <f>SUBTOTAL(9,H58:H60)</f>
        <v>64</v>
      </c>
      <c r="I61" s="104">
        <f t="shared" ref="I61" si="24">SUBTOTAL(9,I58:I60)</f>
        <v>55</v>
      </c>
      <c r="J61" s="104">
        <f t="shared" ref="J61" si="25">SUBTOTAL(9,J58:J60)</f>
        <v>32</v>
      </c>
      <c r="K61" s="104">
        <f t="shared" ref="K61:L61" si="26">SUM(K58:K59)</f>
        <v>13</v>
      </c>
      <c r="L61" s="104">
        <f t="shared" si="26"/>
        <v>8</v>
      </c>
      <c r="M61" s="103"/>
      <c r="N61" s="103"/>
      <c r="O61" s="103"/>
      <c r="P61" s="103"/>
      <c r="Q61" s="103">
        <f>SUM(Q58:Q59)</f>
        <v>212</v>
      </c>
      <c r="S61" s="144">
        <f>(Q61-Q58)/Q58</f>
        <v>0.06</v>
      </c>
    </row>
    <row r="62" spans="2:19" s="196" customFormat="1" ht="53.5">
      <c r="B62" s="197"/>
      <c r="C62" s="197"/>
      <c r="E62" s="198"/>
      <c r="F62" s="199"/>
      <c r="G62" s="199"/>
      <c r="H62" s="199"/>
      <c r="I62" s="199"/>
      <c r="J62" s="199"/>
      <c r="K62" s="199"/>
      <c r="L62" s="199"/>
      <c r="M62" s="200"/>
      <c r="N62" s="200"/>
      <c r="O62" s="200"/>
      <c r="P62" s="200"/>
      <c r="Q62" s="200"/>
      <c r="S62" s="201"/>
    </row>
    <row r="63" spans="2:19" s="105" customFormat="1" ht="71.5" customHeight="1">
      <c r="B63" s="106" t="s">
        <v>79</v>
      </c>
      <c r="C63" s="107"/>
      <c r="D63" s="106"/>
      <c r="E63" s="108"/>
      <c r="F63" s="128">
        <f>F21</f>
        <v>16</v>
      </c>
      <c r="G63" s="128">
        <f t="shared" ref="G63:L63" si="27">G21</f>
        <v>48</v>
      </c>
      <c r="H63" s="128">
        <f t="shared" si="27"/>
        <v>93</v>
      </c>
      <c r="I63" s="128">
        <f t="shared" si="27"/>
        <v>82</v>
      </c>
      <c r="J63" s="128">
        <f t="shared" si="27"/>
        <v>47</v>
      </c>
      <c r="K63" s="128">
        <f t="shared" si="27"/>
        <v>21</v>
      </c>
      <c r="L63" s="128">
        <f t="shared" si="27"/>
        <v>11</v>
      </c>
      <c r="M63" s="128"/>
      <c r="N63" s="128"/>
      <c r="O63" s="128"/>
      <c r="P63" s="128"/>
      <c r="Q63" s="128">
        <f>SUM(F63:P63)</f>
        <v>318</v>
      </c>
      <c r="S63" s="136"/>
    </row>
    <row r="64" spans="2:19" s="1" customFormat="1" ht="59.15" customHeight="1">
      <c r="B64" s="53" t="s">
        <v>14</v>
      </c>
      <c r="C64" s="31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S64" s="130"/>
    </row>
    <row r="65" spans="1:21" s="32" customFormat="1" ht="130" customHeight="1">
      <c r="A65" s="263" t="s">
        <v>15</v>
      </c>
      <c r="B65" s="263"/>
      <c r="C65" s="263"/>
      <c r="D65" s="79" t="s">
        <v>16</v>
      </c>
      <c r="E65" s="79" t="s">
        <v>17</v>
      </c>
      <c r="F65" s="79" t="s">
        <v>18</v>
      </c>
      <c r="G65" s="78" t="s">
        <v>19</v>
      </c>
      <c r="H65" s="78" t="s">
        <v>20</v>
      </c>
      <c r="I65" s="78" t="s">
        <v>34</v>
      </c>
      <c r="J65" s="78" t="s">
        <v>84</v>
      </c>
      <c r="K65" s="78" t="s">
        <v>82</v>
      </c>
      <c r="L65" s="78" t="s">
        <v>83</v>
      </c>
      <c r="M65" s="78" t="s">
        <v>35</v>
      </c>
      <c r="N65" s="264" t="s">
        <v>48</v>
      </c>
      <c r="O65" s="264"/>
      <c r="P65" s="264"/>
      <c r="Q65" s="264"/>
      <c r="S65" s="202"/>
    </row>
    <row r="66" spans="1:21" s="39" customFormat="1" ht="41.5">
      <c r="A66" s="281" t="str">
        <f>$D$21</f>
        <v>BLACK</v>
      </c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S66" s="137"/>
    </row>
    <row r="67" spans="1:21" s="64" customFormat="1" ht="110.5" customHeight="1">
      <c r="A67" s="65">
        <v>1</v>
      </c>
      <c r="B67" s="283" t="str">
        <f>$L$11</f>
        <v>Single jersey 20's 190gsm- SOFT HAND FEEL</v>
      </c>
      <c r="C67" s="283"/>
      <c r="D67" s="83" t="s">
        <v>78</v>
      </c>
      <c r="E67" s="83" t="s">
        <v>37</v>
      </c>
      <c r="F67" s="65" t="s">
        <v>10</v>
      </c>
      <c r="G67" s="84">
        <f>Q21</f>
        <v>318</v>
      </c>
      <c r="H67" s="85">
        <v>0.98</v>
      </c>
      <c r="I67" s="70">
        <f>H67*G67</f>
        <v>311.64</v>
      </c>
      <c r="J67" s="76">
        <f>I67*0.8%+(I67/50)*0.5</f>
        <v>5.6095199999999998</v>
      </c>
      <c r="K67" s="76">
        <v>2</v>
      </c>
      <c r="L67" s="76">
        <v>0</v>
      </c>
      <c r="M67" s="145">
        <f>ROUNDUP(SUM(I67:L67),0)</f>
        <v>320</v>
      </c>
      <c r="N67" s="285" t="s">
        <v>322</v>
      </c>
      <c r="O67" s="285"/>
      <c r="P67" s="285"/>
      <c r="Q67" s="285"/>
      <c r="R67" s="64">
        <f>646-104</f>
        <v>542</v>
      </c>
      <c r="S67" s="138"/>
      <c r="U67" s="64">
        <f>R67+470.4</f>
        <v>1012.4</v>
      </c>
    </row>
    <row r="68" spans="1:21" s="64" customFormat="1" ht="258.5" customHeight="1">
      <c r="A68" s="65">
        <v>2</v>
      </c>
      <c r="B68" s="284" t="s">
        <v>101</v>
      </c>
      <c r="C68" s="284"/>
      <c r="D68" s="83" t="s">
        <v>274</v>
      </c>
      <c r="E68" s="83" t="s">
        <v>37</v>
      </c>
      <c r="F68" s="65" t="s">
        <v>10</v>
      </c>
      <c r="G68" s="84">
        <f>G67</f>
        <v>318</v>
      </c>
      <c r="H68" s="85">
        <v>6.5000000000000002E-2</v>
      </c>
      <c r="I68" s="70">
        <f>H68*G68</f>
        <v>20.67</v>
      </c>
      <c r="J68" s="76">
        <f>I68*0%</f>
        <v>0</v>
      </c>
      <c r="K68" s="76">
        <v>0</v>
      </c>
      <c r="L68" s="76">
        <v>0</v>
      </c>
      <c r="M68" s="145">
        <f>ROUNDUP(SUM(I68:L68),0)</f>
        <v>21</v>
      </c>
      <c r="N68" s="285" t="s">
        <v>323</v>
      </c>
      <c r="O68" s="285"/>
      <c r="P68" s="285"/>
      <c r="Q68" s="285"/>
      <c r="S68" s="138"/>
    </row>
    <row r="69" spans="1:21" s="39" customFormat="1" ht="41.5" hidden="1">
      <c r="A69" s="281" t="s">
        <v>36</v>
      </c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S69" s="137"/>
    </row>
    <row r="70" spans="1:21" s="64" customFormat="1" ht="71.5" hidden="1" customHeight="1">
      <c r="A70" s="65">
        <v>3</v>
      </c>
      <c r="B70" s="283" t="str">
        <f>$L$11</f>
        <v>Single jersey 20's 190gsm- SOFT HAND FEEL</v>
      </c>
      <c r="C70" s="283"/>
      <c r="D70" s="83" t="s">
        <v>78</v>
      </c>
      <c r="E70" s="83" t="s">
        <v>117</v>
      </c>
      <c r="F70" s="65" t="s">
        <v>10</v>
      </c>
      <c r="G70" s="84">
        <f>$Q$26</f>
        <v>0</v>
      </c>
      <c r="H70" s="85">
        <v>0.75</v>
      </c>
      <c r="I70" s="70">
        <f>H70*G70</f>
        <v>0</v>
      </c>
      <c r="J70" s="76">
        <f>I70*2%+(I70/50)*0.5</f>
        <v>0</v>
      </c>
      <c r="K70" s="76">
        <v>3</v>
      </c>
      <c r="L70" s="76">
        <v>0</v>
      </c>
      <c r="M70" s="145">
        <f>ROUNDUP(SUM(I70:L70),0)</f>
        <v>3</v>
      </c>
      <c r="N70" s="285" t="s">
        <v>271</v>
      </c>
      <c r="O70" s="285"/>
      <c r="P70" s="285"/>
      <c r="Q70" s="285"/>
      <c r="S70" s="138">
        <f>329-171</f>
        <v>158</v>
      </c>
    </row>
    <row r="71" spans="1:21" s="64" customFormat="1" ht="71.5" hidden="1" customHeight="1">
      <c r="A71" s="65">
        <v>4</v>
      </c>
      <c r="B71" s="284" t="s">
        <v>93</v>
      </c>
      <c r="C71" s="284"/>
      <c r="D71" s="83" t="s">
        <v>94</v>
      </c>
      <c r="E71" s="83" t="str">
        <f>E70</f>
        <v>WHITE OVO STANDARD</v>
      </c>
      <c r="F71" s="65" t="s">
        <v>10</v>
      </c>
      <c r="G71" s="84">
        <f>G70</f>
        <v>0</v>
      </c>
      <c r="H71" s="85">
        <v>0.02</v>
      </c>
      <c r="I71" s="70">
        <f>H71*G71</f>
        <v>0</v>
      </c>
      <c r="J71" s="76">
        <f>I71*5%</f>
        <v>0</v>
      </c>
      <c r="K71" s="76">
        <v>0</v>
      </c>
      <c r="L71" s="76">
        <v>0</v>
      </c>
      <c r="M71" s="145">
        <f>ROUNDUP(SUM(I71:L71),0)</f>
        <v>0</v>
      </c>
      <c r="N71" s="285" t="s">
        <v>271</v>
      </c>
      <c r="O71" s="285"/>
      <c r="P71" s="285"/>
      <c r="Q71" s="285"/>
      <c r="S71" s="138">
        <f>225/0.75*0.02</f>
        <v>6</v>
      </c>
    </row>
    <row r="72" spans="1:21" s="39" customFormat="1" ht="41.5" hidden="1">
      <c r="A72" s="281" t="str">
        <f>$D$32</f>
        <v>OPEN AIR</v>
      </c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S72" s="137"/>
    </row>
    <row r="73" spans="1:21" s="64" customFormat="1" ht="81.5" hidden="1" customHeight="1">
      <c r="A73" s="65">
        <v>5</v>
      </c>
      <c r="B73" s="283" t="str">
        <f>$L$11</f>
        <v>Single jersey 20's 190gsm- SOFT HAND FEEL</v>
      </c>
      <c r="C73" s="283"/>
      <c r="D73" s="83" t="s">
        <v>78</v>
      </c>
      <c r="E73" s="83" t="str">
        <f>$D$32</f>
        <v>OPEN AIR</v>
      </c>
      <c r="F73" s="65" t="s">
        <v>10</v>
      </c>
      <c r="G73" s="84">
        <f>$Q$32</f>
        <v>0</v>
      </c>
      <c r="H73" s="85">
        <v>0.78</v>
      </c>
      <c r="I73" s="70">
        <f>H73*G73</f>
        <v>0</v>
      </c>
      <c r="J73" s="76">
        <f>I73*1%+(I73/40)*0.5</f>
        <v>0</v>
      </c>
      <c r="K73" s="76">
        <v>2</v>
      </c>
      <c r="L73" s="76">
        <v>0</v>
      </c>
      <c r="M73" s="145">
        <f>ROUNDUP(SUM(I73:L73),0)</f>
        <v>2</v>
      </c>
      <c r="N73" s="282" t="s">
        <v>264</v>
      </c>
      <c r="O73" s="282"/>
      <c r="P73" s="282"/>
      <c r="Q73" s="282"/>
      <c r="S73" s="138"/>
    </row>
    <row r="74" spans="1:21" s="64" customFormat="1" ht="81.5" hidden="1" customHeight="1">
      <c r="A74" s="65">
        <v>6</v>
      </c>
      <c r="B74" s="284" t="s">
        <v>93</v>
      </c>
      <c r="C74" s="284"/>
      <c r="D74" s="83" t="s">
        <v>94</v>
      </c>
      <c r="E74" s="83" t="str">
        <f>E73</f>
        <v>OPEN AIR</v>
      </c>
      <c r="F74" s="65" t="s">
        <v>10</v>
      </c>
      <c r="G74" s="84">
        <f>G73</f>
        <v>0</v>
      </c>
      <c r="H74" s="85">
        <v>0.02</v>
      </c>
      <c r="I74" s="70">
        <f>H74*G74</f>
        <v>0</v>
      </c>
      <c r="J74" s="76">
        <f>I74*1%</f>
        <v>0</v>
      </c>
      <c r="K74" s="76">
        <v>0</v>
      </c>
      <c r="L74" s="76">
        <v>0</v>
      </c>
      <c r="M74" s="145">
        <f>ROUNDUP(SUM(I74:L74),0)</f>
        <v>0</v>
      </c>
      <c r="N74" s="282" t="s">
        <v>265</v>
      </c>
      <c r="O74" s="282"/>
      <c r="P74" s="282"/>
      <c r="Q74" s="282"/>
      <c r="S74" s="138"/>
    </row>
    <row r="75" spans="1:21" s="39" customFormat="1" ht="41.5" hidden="1">
      <c r="A75" s="281" t="str">
        <f>$D$38</f>
        <v>SAND</v>
      </c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S75" s="137"/>
    </row>
    <row r="76" spans="1:21" s="64" customFormat="1" ht="103" hidden="1" customHeight="1">
      <c r="A76" s="65">
        <v>7</v>
      </c>
      <c r="B76" s="283" t="str">
        <f>$L$11</f>
        <v>Single jersey 20's 190gsm- SOFT HAND FEEL</v>
      </c>
      <c r="C76" s="283"/>
      <c r="D76" s="83" t="s">
        <v>78</v>
      </c>
      <c r="E76" s="83" t="str">
        <f>$D$38</f>
        <v>SAND</v>
      </c>
      <c r="F76" s="65" t="s">
        <v>10</v>
      </c>
      <c r="G76" s="84">
        <f>$Q$38</f>
        <v>0</v>
      </c>
      <c r="H76" s="85">
        <v>0.78</v>
      </c>
      <c r="I76" s="70">
        <f>H76*G76</f>
        <v>0</v>
      </c>
      <c r="J76" s="76">
        <f>I76*2.1%+(I76/50)*0.5</f>
        <v>0</v>
      </c>
      <c r="K76" s="76">
        <v>2</v>
      </c>
      <c r="L76" s="76">
        <v>0</v>
      </c>
      <c r="M76" s="145">
        <f>ROUNDUP(SUM(I76:L76),0)</f>
        <v>2</v>
      </c>
      <c r="N76" s="282" t="s">
        <v>261</v>
      </c>
      <c r="O76" s="282"/>
      <c r="P76" s="282"/>
      <c r="Q76" s="282"/>
      <c r="S76" s="138"/>
    </row>
    <row r="77" spans="1:21" s="64" customFormat="1" ht="103" hidden="1" customHeight="1">
      <c r="A77" s="65">
        <v>8</v>
      </c>
      <c r="B77" s="284" t="s">
        <v>93</v>
      </c>
      <c r="C77" s="284"/>
      <c r="D77" s="83" t="s">
        <v>94</v>
      </c>
      <c r="E77" s="83" t="str">
        <f>E76</f>
        <v>SAND</v>
      </c>
      <c r="F77" s="65" t="s">
        <v>10</v>
      </c>
      <c r="G77" s="84">
        <f>G76</f>
        <v>0</v>
      </c>
      <c r="H77" s="85">
        <v>0.02</v>
      </c>
      <c r="I77" s="70">
        <f>H77*G77</f>
        <v>0</v>
      </c>
      <c r="J77" s="76">
        <f>I77*29.1%</f>
        <v>0</v>
      </c>
      <c r="K77" s="76">
        <v>0</v>
      </c>
      <c r="L77" s="76">
        <v>0</v>
      </c>
      <c r="M77" s="145">
        <f>ROUNDUP(SUM(I77:L77),0)</f>
        <v>0</v>
      </c>
      <c r="N77" s="282" t="s">
        <v>262</v>
      </c>
      <c r="O77" s="282"/>
      <c r="P77" s="282"/>
      <c r="Q77" s="282"/>
      <c r="S77" s="138"/>
    </row>
    <row r="78" spans="1:21" s="39" customFormat="1" ht="41.5" hidden="1">
      <c r="A78" s="281">
        <f>$D$43</f>
        <v>0</v>
      </c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S78" s="137"/>
    </row>
    <row r="79" spans="1:21" s="64" customFormat="1" ht="112" hidden="1" customHeight="1">
      <c r="A79" s="65">
        <v>9</v>
      </c>
      <c r="B79" s="283" t="str">
        <f>$L$11</f>
        <v>Single jersey 20's 190gsm- SOFT HAND FEEL</v>
      </c>
      <c r="C79" s="283"/>
      <c r="D79" s="83" t="s">
        <v>78</v>
      </c>
      <c r="E79" s="83">
        <f>$D$43</f>
        <v>0</v>
      </c>
      <c r="F79" s="65" t="s">
        <v>10</v>
      </c>
      <c r="G79" s="84">
        <f>$Q$43</f>
        <v>0</v>
      </c>
      <c r="H79" s="85">
        <v>0.66</v>
      </c>
      <c r="I79" s="70">
        <f>H79*G79</f>
        <v>0</v>
      </c>
      <c r="J79" s="76">
        <f>I79*0.7%+(I79/50)*0.5</f>
        <v>0</v>
      </c>
      <c r="K79" s="76">
        <v>2</v>
      </c>
      <c r="L79" s="76">
        <v>0</v>
      </c>
      <c r="M79" s="145">
        <f>ROUNDUP(SUM(I79:L79),0)</f>
        <v>2</v>
      </c>
      <c r="N79" s="282"/>
      <c r="O79" s="282"/>
      <c r="P79" s="282"/>
      <c r="Q79" s="282"/>
      <c r="S79" s="138"/>
    </row>
    <row r="80" spans="1:21" s="64" customFormat="1" ht="112" hidden="1" customHeight="1">
      <c r="A80" s="65">
        <v>10</v>
      </c>
      <c r="B80" s="284" t="s">
        <v>93</v>
      </c>
      <c r="C80" s="284"/>
      <c r="D80" s="83" t="s">
        <v>94</v>
      </c>
      <c r="E80" s="83">
        <f>E79</f>
        <v>0</v>
      </c>
      <c r="F80" s="65" t="s">
        <v>10</v>
      </c>
      <c r="G80" s="84">
        <f>G79</f>
        <v>0</v>
      </c>
      <c r="H80" s="85">
        <v>1.7999999999999999E-2</v>
      </c>
      <c r="I80" s="70">
        <f>H80*G80</f>
        <v>0</v>
      </c>
      <c r="J80" s="76">
        <f>I80*0%</f>
        <v>0</v>
      </c>
      <c r="K80" s="76">
        <v>0</v>
      </c>
      <c r="L80" s="76">
        <v>0</v>
      </c>
      <c r="M80" s="145">
        <f>ROUNDUP(SUM(I80:L80),0)</f>
        <v>0</v>
      </c>
      <c r="N80" s="282"/>
      <c r="O80" s="282"/>
      <c r="P80" s="282"/>
      <c r="Q80" s="282"/>
      <c r="S80" s="138"/>
    </row>
    <row r="81" spans="1:21" s="39" customFormat="1" ht="41.5" hidden="1">
      <c r="A81" s="281" t="str">
        <f>D49</f>
        <v>OGRANGE</v>
      </c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S81" s="137"/>
    </row>
    <row r="82" spans="1:21" s="64" customFormat="1" ht="74" hidden="1" customHeight="1">
      <c r="A82" s="65">
        <v>1</v>
      </c>
      <c r="B82" s="283" t="str">
        <f>$L$11</f>
        <v>Single jersey 20's 190gsm- SOFT HAND FEEL</v>
      </c>
      <c r="C82" s="283"/>
      <c r="D82" s="83" t="s">
        <v>78</v>
      </c>
      <c r="E82" s="83" t="s">
        <v>308</v>
      </c>
      <c r="F82" s="65" t="s">
        <v>10</v>
      </c>
      <c r="G82" s="84">
        <f>$Q$21</f>
        <v>318</v>
      </c>
      <c r="H82" s="85">
        <v>0.75</v>
      </c>
      <c r="I82" s="70">
        <f>H82*G82</f>
        <v>238.5</v>
      </c>
      <c r="J82" s="76">
        <f>I82*1%+(I82/50)*0.5</f>
        <v>4.7699999999999996</v>
      </c>
      <c r="K82" s="76">
        <v>3</v>
      </c>
      <c r="L82" s="76">
        <v>0</v>
      </c>
      <c r="M82" s="145">
        <f>ROUNDUP(SUM(I82:L82),0)</f>
        <v>247</v>
      </c>
      <c r="N82" s="285" t="s">
        <v>271</v>
      </c>
      <c r="O82" s="285"/>
      <c r="P82" s="285"/>
      <c r="Q82" s="285"/>
      <c r="R82" s="64">
        <f>646-104</f>
        <v>542</v>
      </c>
      <c r="S82" s="138"/>
      <c r="U82" s="64">
        <f>R82+470.4</f>
        <v>1012.4</v>
      </c>
    </row>
    <row r="83" spans="1:21" s="64" customFormat="1" ht="74" hidden="1" customHeight="1">
      <c r="A83" s="65">
        <v>2</v>
      </c>
      <c r="B83" s="284" t="s">
        <v>101</v>
      </c>
      <c r="C83" s="284"/>
      <c r="D83" s="83" t="s">
        <v>274</v>
      </c>
      <c r="E83" s="83" t="str">
        <f>E82</f>
        <v>PFD</v>
      </c>
      <c r="F83" s="65" t="s">
        <v>10</v>
      </c>
      <c r="G83" s="84">
        <f>G82</f>
        <v>318</v>
      </c>
      <c r="H83" s="85">
        <v>0.02</v>
      </c>
      <c r="I83" s="70">
        <f>H83*G83</f>
        <v>6.36</v>
      </c>
      <c r="J83" s="76">
        <f>I83*5%</f>
        <v>0.31800000000000006</v>
      </c>
      <c r="K83" s="76">
        <v>0</v>
      </c>
      <c r="L83" s="76">
        <v>0</v>
      </c>
      <c r="M83" s="145">
        <f>ROUNDUP(SUM(I83:L83),0)</f>
        <v>7</v>
      </c>
      <c r="N83" s="285" t="s">
        <v>271</v>
      </c>
      <c r="O83" s="285"/>
      <c r="P83" s="285"/>
      <c r="Q83" s="285"/>
      <c r="S83" s="138"/>
    </row>
    <row r="84" spans="1:21" s="39" customFormat="1" ht="41.5" hidden="1">
      <c r="A84" s="281" t="str">
        <f>D55</f>
        <v>PUFFINS BILL</v>
      </c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S84" s="137"/>
    </row>
    <row r="85" spans="1:21" s="64" customFormat="1" ht="110.5" hidden="1" customHeight="1">
      <c r="A85" s="65">
        <v>1</v>
      </c>
      <c r="B85" s="283" t="str">
        <f>$L$11</f>
        <v>Single jersey 20's 190gsm- SOFT HAND FEEL</v>
      </c>
      <c r="C85" s="283"/>
      <c r="D85" s="83" t="s">
        <v>78</v>
      </c>
      <c r="E85" s="83" t="s">
        <v>308</v>
      </c>
      <c r="F85" s="65" t="s">
        <v>10</v>
      </c>
      <c r="G85" s="84">
        <f>Q55</f>
        <v>212</v>
      </c>
      <c r="H85" s="85">
        <v>0.98</v>
      </c>
      <c r="I85" s="70">
        <f>H85*G85</f>
        <v>207.76</v>
      </c>
      <c r="J85" s="76">
        <f>I85*1%+(I85/50)*0.5</f>
        <v>4.1551999999999998</v>
      </c>
      <c r="K85" s="76">
        <v>0</v>
      </c>
      <c r="L85" s="76">
        <v>0</v>
      </c>
      <c r="M85" s="145">
        <f>ROUNDUP(SUM(I85:L85),0)</f>
        <v>212</v>
      </c>
      <c r="N85" s="285"/>
      <c r="O85" s="285"/>
      <c r="P85" s="285"/>
      <c r="Q85" s="285"/>
      <c r="R85" s="64">
        <f>646-104</f>
        <v>542</v>
      </c>
      <c r="S85" s="138"/>
      <c r="U85" s="64">
        <f>R85+470.4</f>
        <v>1012.4</v>
      </c>
    </row>
    <row r="86" spans="1:21" s="64" customFormat="1" ht="110.5" hidden="1" customHeight="1">
      <c r="A86" s="65">
        <v>2</v>
      </c>
      <c r="B86" s="284" t="s">
        <v>101</v>
      </c>
      <c r="C86" s="284"/>
      <c r="D86" s="83" t="s">
        <v>274</v>
      </c>
      <c r="E86" s="83" t="str">
        <f>E85</f>
        <v>PFD</v>
      </c>
      <c r="F86" s="65" t="s">
        <v>10</v>
      </c>
      <c r="G86" s="84">
        <f>G85</f>
        <v>212</v>
      </c>
      <c r="H86" s="85">
        <v>6.5000000000000002E-2</v>
      </c>
      <c r="I86" s="70">
        <f>H86*G86</f>
        <v>13.780000000000001</v>
      </c>
      <c r="J86" s="76">
        <f>I86*5%</f>
        <v>0.68900000000000006</v>
      </c>
      <c r="K86" s="76">
        <v>0</v>
      </c>
      <c r="L86" s="76">
        <v>0</v>
      </c>
      <c r="M86" s="145">
        <f>ROUNDUP(SUM(I86:L86),0)</f>
        <v>15</v>
      </c>
      <c r="N86" s="285"/>
      <c r="O86" s="285"/>
      <c r="P86" s="285"/>
      <c r="Q86" s="285"/>
      <c r="S86" s="138"/>
    </row>
    <row r="87" spans="1:21" s="39" customFormat="1" ht="41.5" hidden="1">
      <c r="A87" s="281" t="str">
        <f>D58</f>
        <v>CAMO</v>
      </c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S87" s="137"/>
    </row>
    <row r="88" spans="1:21" s="64" customFormat="1" ht="110.5" hidden="1" customHeight="1">
      <c r="A88" s="65">
        <v>1</v>
      </c>
      <c r="B88" s="283" t="str">
        <f>$L$11</f>
        <v>Single jersey 20's 190gsm- SOFT HAND FEEL</v>
      </c>
      <c r="C88" s="283"/>
      <c r="D88" s="83" t="s">
        <v>78</v>
      </c>
      <c r="E88" s="83" t="s">
        <v>308</v>
      </c>
      <c r="F88" s="65" t="s">
        <v>10</v>
      </c>
      <c r="G88" s="84">
        <f>Q61</f>
        <v>212</v>
      </c>
      <c r="H88" s="85">
        <v>0.9</v>
      </c>
      <c r="I88" s="70">
        <f>H88*G88</f>
        <v>190.8</v>
      </c>
      <c r="J88" s="76">
        <f>I88*1%+(I88/50)*0.5</f>
        <v>3.8160000000000003</v>
      </c>
      <c r="K88" s="76">
        <v>0</v>
      </c>
      <c r="L88" s="76">
        <v>0</v>
      </c>
      <c r="M88" s="145">
        <f>ROUNDUP(SUM(I88:L88),0)</f>
        <v>195</v>
      </c>
      <c r="N88" s="285"/>
      <c r="O88" s="285"/>
      <c r="P88" s="285"/>
      <c r="Q88" s="285"/>
      <c r="R88" s="64">
        <f>646-104</f>
        <v>542</v>
      </c>
      <c r="S88" s="138"/>
      <c r="U88" s="64">
        <f>R88+470.4</f>
        <v>1012.4</v>
      </c>
    </row>
    <row r="89" spans="1:21" s="64" customFormat="1" ht="110.5" hidden="1" customHeight="1">
      <c r="A89" s="65">
        <v>2</v>
      </c>
      <c r="B89" s="284" t="s">
        <v>101</v>
      </c>
      <c r="C89" s="284"/>
      <c r="D89" s="83" t="s">
        <v>274</v>
      </c>
      <c r="E89" s="83" t="str">
        <f>E88</f>
        <v>PFD</v>
      </c>
      <c r="F89" s="65" t="s">
        <v>10</v>
      </c>
      <c r="G89" s="84">
        <f>G88</f>
        <v>212</v>
      </c>
      <c r="H89" s="85">
        <v>6.5000000000000002E-2</v>
      </c>
      <c r="I89" s="70">
        <f>H89*G89</f>
        <v>13.780000000000001</v>
      </c>
      <c r="J89" s="76">
        <f>I89*5%</f>
        <v>0.68900000000000006</v>
      </c>
      <c r="K89" s="76">
        <v>0</v>
      </c>
      <c r="L89" s="76">
        <v>0</v>
      </c>
      <c r="M89" s="145">
        <f>ROUNDUP(SUM(I89:L89),0)</f>
        <v>15</v>
      </c>
      <c r="N89" s="285"/>
      <c r="O89" s="285"/>
      <c r="P89" s="285"/>
      <c r="Q89" s="285"/>
      <c r="S89" s="138"/>
    </row>
    <row r="90" spans="1:21" s="33" customFormat="1" ht="37" customHeight="1" thickBot="1">
      <c r="B90" s="53" t="s">
        <v>21</v>
      </c>
      <c r="C90" s="34"/>
      <c r="D90" s="34"/>
      <c r="E90" s="34"/>
      <c r="G90" s="35"/>
      <c r="Q90" s="36"/>
      <c r="S90" s="139"/>
    </row>
    <row r="91" spans="1:21" s="46" customFormat="1" ht="69.5" customHeight="1">
      <c r="A91" s="304" t="s">
        <v>22</v>
      </c>
      <c r="B91" s="305"/>
      <c r="C91" s="305"/>
      <c r="D91" s="305"/>
      <c r="E91" s="306"/>
      <c r="F91" s="50" t="s">
        <v>44</v>
      </c>
      <c r="G91" s="50" t="s">
        <v>23</v>
      </c>
      <c r="H91" s="302" t="s">
        <v>39</v>
      </c>
      <c r="I91" s="307"/>
      <c r="J91" s="51" t="s">
        <v>18</v>
      </c>
      <c r="K91" s="50" t="s">
        <v>45</v>
      </c>
      <c r="L91" s="50" t="s">
        <v>24</v>
      </c>
      <c r="M91" s="52" t="s">
        <v>25</v>
      </c>
      <c r="N91" s="52" t="s">
        <v>26</v>
      </c>
      <c r="O91" s="52" t="s">
        <v>27</v>
      </c>
      <c r="P91" s="302" t="s">
        <v>28</v>
      </c>
      <c r="Q91" s="303"/>
      <c r="S91" s="140"/>
    </row>
    <row r="92" spans="1:21" s="11" customFormat="1" ht="43" customHeight="1">
      <c r="A92" s="80">
        <f>ROW()-ROW($A$91)</f>
        <v>1</v>
      </c>
      <c r="B92" s="250" t="s">
        <v>102</v>
      </c>
      <c r="C92" s="250"/>
      <c r="D92" s="250"/>
      <c r="E92" s="250"/>
      <c r="F92" s="71" t="str">
        <f>H92</f>
        <v>BLACK</v>
      </c>
      <c r="G92" s="129">
        <v>1500</v>
      </c>
      <c r="H92" s="251" t="str">
        <f>$D$21</f>
        <v>BLACK</v>
      </c>
      <c r="I92" s="251"/>
      <c r="J92" s="75" t="s">
        <v>29</v>
      </c>
      <c r="K92" s="75">
        <f>$Q$21</f>
        <v>318</v>
      </c>
      <c r="L92" s="82">
        <f>135/4500</f>
        <v>0.03</v>
      </c>
      <c r="M92" s="81">
        <f t="shared" ref="M92" si="28">K92*L92</f>
        <v>9.5399999999999991</v>
      </c>
      <c r="N92" s="81"/>
      <c r="O92" s="77">
        <f t="shared" ref="O92" si="29">ROUNDUP(N92+M92,0)</f>
        <v>10</v>
      </c>
      <c r="P92" s="252" t="s">
        <v>364</v>
      </c>
      <c r="Q92" s="252"/>
      <c r="S92" s="133"/>
    </row>
    <row r="93" spans="1:21" s="11" customFormat="1" ht="43" hidden="1" customHeight="1">
      <c r="A93" s="80">
        <f t="shared" ref="A93:A109" si="30">ROW()-ROW($A$91)</f>
        <v>2</v>
      </c>
      <c r="B93" s="250" t="s">
        <v>102</v>
      </c>
      <c r="C93" s="250"/>
      <c r="D93" s="250"/>
      <c r="E93" s="250"/>
      <c r="F93" s="71" t="s">
        <v>324</v>
      </c>
      <c r="G93" s="129"/>
      <c r="H93" s="251" t="s">
        <v>320</v>
      </c>
      <c r="I93" s="251"/>
      <c r="J93" s="75" t="s">
        <v>29</v>
      </c>
      <c r="K93" s="75">
        <f>G85</f>
        <v>212</v>
      </c>
      <c r="L93" s="82">
        <f>135/4500</f>
        <v>0.03</v>
      </c>
      <c r="M93" s="81">
        <f t="shared" ref="M93" si="31">K93*L93</f>
        <v>6.3599999999999994</v>
      </c>
      <c r="N93" s="81"/>
      <c r="O93" s="77">
        <f t="shared" ref="O93" si="32">ROUNDUP(N93+M93,0)</f>
        <v>7</v>
      </c>
      <c r="P93" s="252"/>
      <c r="Q93" s="252"/>
      <c r="S93" s="133"/>
    </row>
    <row r="94" spans="1:21" s="11" customFormat="1" ht="43" hidden="1" customHeight="1">
      <c r="A94" s="80">
        <f t="shared" si="30"/>
        <v>3</v>
      </c>
      <c r="B94" s="250" t="s">
        <v>102</v>
      </c>
      <c r="C94" s="250"/>
      <c r="D94" s="250"/>
      <c r="E94" s="250"/>
      <c r="F94" s="71" t="str">
        <f t="shared" ref="F94" si="33">H94</f>
        <v>CAMO</v>
      </c>
      <c r="G94" s="129"/>
      <c r="H94" s="251" t="str">
        <f>A87</f>
        <v>CAMO</v>
      </c>
      <c r="I94" s="251"/>
      <c r="J94" s="75" t="s">
        <v>29</v>
      </c>
      <c r="K94" s="75">
        <f>G88</f>
        <v>212</v>
      </c>
      <c r="L94" s="82">
        <f t="shared" ref="L94" si="34">135/4500</f>
        <v>0.03</v>
      </c>
      <c r="M94" s="81">
        <f t="shared" ref="M94" si="35">K94*L94</f>
        <v>6.3599999999999994</v>
      </c>
      <c r="N94" s="81"/>
      <c r="O94" s="77">
        <f t="shared" ref="O94" si="36">ROUNDUP(N94+M94,0)</f>
        <v>7</v>
      </c>
      <c r="P94" s="252"/>
      <c r="Q94" s="252"/>
      <c r="S94" s="133"/>
    </row>
    <row r="95" spans="1:21" s="11" customFormat="1" ht="44" customHeight="1">
      <c r="A95" s="80">
        <f t="shared" si="30"/>
        <v>4</v>
      </c>
      <c r="B95" s="260" t="s">
        <v>158</v>
      </c>
      <c r="C95" s="261"/>
      <c r="D95" s="261"/>
      <c r="E95" s="262"/>
      <c r="F95" s="148" t="s">
        <v>36</v>
      </c>
      <c r="G95" s="147"/>
      <c r="H95" s="251" t="str">
        <f t="shared" ref="H95" si="37">$D$21</f>
        <v>BLACK</v>
      </c>
      <c r="I95" s="251"/>
      <c r="J95" s="75" t="s">
        <v>30</v>
      </c>
      <c r="K95" s="75">
        <f t="shared" ref="K95" si="38">$Q$21</f>
        <v>318</v>
      </c>
      <c r="L95" s="75">
        <v>1</v>
      </c>
      <c r="M95" s="75">
        <f t="shared" ref="M95" si="39">L95*K95</f>
        <v>318</v>
      </c>
      <c r="N95" s="81"/>
      <c r="O95" s="77">
        <f t="shared" ref="O95" si="40">ROUNDUP(N95+M95,0)</f>
        <v>318</v>
      </c>
      <c r="P95" s="252" t="s">
        <v>365</v>
      </c>
      <c r="Q95" s="252"/>
      <c r="S95" s="133"/>
    </row>
    <row r="96" spans="1:21" s="11" customFormat="1" ht="44.5" hidden="1" customHeight="1">
      <c r="A96" s="80">
        <f t="shared" si="30"/>
        <v>5</v>
      </c>
      <c r="B96" s="260" t="s">
        <v>158</v>
      </c>
      <c r="C96" s="261"/>
      <c r="D96" s="261"/>
      <c r="E96" s="262"/>
      <c r="F96" s="148" t="s">
        <v>36</v>
      </c>
      <c r="G96" s="147"/>
      <c r="H96" s="251" t="str">
        <f>H93</f>
        <v>PUFFINS BILL</v>
      </c>
      <c r="I96" s="251"/>
      <c r="J96" s="75" t="s">
        <v>30</v>
      </c>
      <c r="K96" s="75">
        <f>K93</f>
        <v>212</v>
      </c>
      <c r="L96" s="75">
        <v>1</v>
      </c>
      <c r="M96" s="75">
        <f t="shared" ref="M96" si="41">L96*K96</f>
        <v>212</v>
      </c>
      <c r="N96" s="81"/>
      <c r="O96" s="77">
        <f t="shared" ref="O96" si="42">ROUNDUP(N96+M96,0)</f>
        <v>212</v>
      </c>
      <c r="P96" s="252"/>
      <c r="Q96" s="252"/>
      <c r="S96" s="133"/>
    </row>
    <row r="97" spans="1:19" s="11" customFormat="1" ht="48.5" hidden="1" customHeight="1">
      <c r="A97" s="80">
        <f t="shared" si="30"/>
        <v>6</v>
      </c>
      <c r="B97" s="260" t="s">
        <v>158</v>
      </c>
      <c r="C97" s="261"/>
      <c r="D97" s="261"/>
      <c r="E97" s="262"/>
      <c r="F97" s="148" t="s">
        <v>36</v>
      </c>
      <c r="G97" s="147"/>
      <c r="H97" s="251" t="str">
        <f>H94</f>
        <v>CAMO</v>
      </c>
      <c r="I97" s="251"/>
      <c r="J97" s="75" t="s">
        <v>30</v>
      </c>
      <c r="K97" s="75">
        <f>K94</f>
        <v>212</v>
      </c>
      <c r="L97" s="75">
        <v>1</v>
      </c>
      <c r="M97" s="75">
        <f t="shared" ref="M97" si="43">L97*K97</f>
        <v>212</v>
      </c>
      <c r="N97" s="81"/>
      <c r="O97" s="77">
        <f t="shared" ref="O97" si="44">ROUNDUP(N97+M97,0)</f>
        <v>212</v>
      </c>
      <c r="P97" s="252"/>
      <c r="Q97" s="252"/>
      <c r="S97" s="133"/>
    </row>
    <row r="98" spans="1:19" s="11" customFormat="1" ht="40.5" customHeight="1">
      <c r="A98" s="80">
        <f t="shared" si="30"/>
        <v>7</v>
      </c>
      <c r="B98" s="260" t="s">
        <v>159</v>
      </c>
      <c r="C98" s="261"/>
      <c r="D98" s="261"/>
      <c r="E98" s="262"/>
      <c r="F98" s="148" t="s">
        <v>36</v>
      </c>
      <c r="G98" s="147"/>
      <c r="H98" s="251" t="str">
        <f t="shared" ref="H98" si="45">$D$21</f>
        <v>BLACK</v>
      </c>
      <c r="I98" s="251"/>
      <c r="J98" s="75" t="s">
        <v>30</v>
      </c>
      <c r="K98" s="75">
        <f t="shared" ref="K98" si="46">$Q$21</f>
        <v>318</v>
      </c>
      <c r="L98" s="75">
        <v>1</v>
      </c>
      <c r="M98" s="75">
        <f t="shared" ref="M98" si="47">L98*K98</f>
        <v>318</v>
      </c>
      <c r="N98" s="81"/>
      <c r="O98" s="77">
        <f t="shared" ref="O98" si="48">ROUNDUP(N98+M98,0)</f>
        <v>318</v>
      </c>
      <c r="P98" s="252" t="s">
        <v>365</v>
      </c>
      <c r="Q98" s="252"/>
      <c r="S98" s="133"/>
    </row>
    <row r="99" spans="1:19" s="11" customFormat="1" ht="34.5" hidden="1" customHeight="1">
      <c r="A99" s="80">
        <f t="shared" si="30"/>
        <v>8</v>
      </c>
      <c r="B99" s="260" t="s">
        <v>159</v>
      </c>
      <c r="C99" s="261"/>
      <c r="D99" s="261"/>
      <c r="E99" s="262"/>
      <c r="F99" s="148" t="s">
        <v>36</v>
      </c>
      <c r="G99" s="147"/>
      <c r="H99" s="251" t="str">
        <f>H96</f>
        <v>PUFFINS BILL</v>
      </c>
      <c r="I99" s="251"/>
      <c r="J99" s="75" t="s">
        <v>30</v>
      </c>
      <c r="K99" s="75">
        <f>K96</f>
        <v>212</v>
      </c>
      <c r="L99" s="75">
        <v>1</v>
      </c>
      <c r="M99" s="75">
        <f t="shared" ref="M99" si="49">L99*K99</f>
        <v>212</v>
      </c>
      <c r="N99" s="81"/>
      <c r="O99" s="77">
        <f t="shared" ref="O99" si="50">ROUNDUP(N99+M99,0)</f>
        <v>212</v>
      </c>
      <c r="P99" s="252"/>
      <c r="Q99" s="252"/>
      <c r="S99" s="133"/>
    </row>
    <row r="100" spans="1:19" s="11" customFormat="1" ht="34.5" hidden="1" customHeight="1">
      <c r="A100" s="80">
        <f t="shared" si="30"/>
        <v>9</v>
      </c>
      <c r="B100" s="260" t="s">
        <v>159</v>
      </c>
      <c r="C100" s="261"/>
      <c r="D100" s="261"/>
      <c r="E100" s="262"/>
      <c r="F100" s="148" t="s">
        <v>36</v>
      </c>
      <c r="G100" s="147"/>
      <c r="H100" s="251" t="str">
        <f>H97</f>
        <v>CAMO</v>
      </c>
      <c r="I100" s="251"/>
      <c r="J100" s="75" t="s">
        <v>30</v>
      </c>
      <c r="K100" s="75">
        <f>K97</f>
        <v>212</v>
      </c>
      <c r="L100" s="75">
        <v>1</v>
      </c>
      <c r="M100" s="75">
        <f t="shared" ref="M100" si="51">L100*K100</f>
        <v>212</v>
      </c>
      <c r="N100" s="81"/>
      <c r="O100" s="77">
        <f t="shared" ref="O100" si="52">ROUNDUP(N100+M100,0)</f>
        <v>212</v>
      </c>
      <c r="P100" s="252"/>
      <c r="Q100" s="252"/>
      <c r="S100" s="133"/>
    </row>
    <row r="101" spans="1:19" s="11" customFormat="1" ht="64" customHeight="1">
      <c r="A101" s="80">
        <f t="shared" si="30"/>
        <v>10</v>
      </c>
      <c r="B101" s="249" t="s">
        <v>103</v>
      </c>
      <c r="C101" s="250"/>
      <c r="D101" s="250"/>
      <c r="E101" s="250"/>
      <c r="F101" s="148" t="s">
        <v>36</v>
      </c>
      <c r="G101" s="147"/>
      <c r="H101" s="251" t="str">
        <f t="shared" ref="H101" si="53">$D$21</f>
        <v>BLACK</v>
      </c>
      <c r="I101" s="251"/>
      <c r="J101" s="75" t="s">
        <v>30</v>
      </c>
      <c r="K101" s="75">
        <f t="shared" ref="K101" si="54">$Q$21</f>
        <v>318</v>
      </c>
      <c r="L101" s="75">
        <v>1</v>
      </c>
      <c r="M101" s="75">
        <f t="shared" ref="M101:M104" si="55">L101*K101</f>
        <v>318</v>
      </c>
      <c r="N101" s="81"/>
      <c r="O101" s="77">
        <f t="shared" ref="O101:O104" si="56">ROUNDUP(N101+M101,0)</f>
        <v>318</v>
      </c>
      <c r="P101" s="252" t="s">
        <v>366</v>
      </c>
      <c r="Q101" s="252"/>
      <c r="S101" s="133"/>
    </row>
    <row r="102" spans="1:19" s="11" customFormat="1" ht="61" hidden="1" customHeight="1">
      <c r="A102" s="80">
        <f t="shared" si="30"/>
        <v>11</v>
      </c>
      <c r="B102" s="249" t="s">
        <v>103</v>
      </c>
      <c r="C102" s="250"/>
      <c r="D102" s="250"/>
      <c r="E102" s="250"/>
      <c r="F102" s="148" t="s">
        <v>36</v>
      </c>
      <c r="G102" s="147"/>
      <c r="H102" s="251" t="str">
        <f>H99</f>
        <v>PUFFINS BILL</v>
      </c>
      <c r="I102" s="251"/>
      <c r="J102" s="75" t="s">
        <v>30</v>
      </c>
      <c r="K102" s="75">
        <f>K99</f>
        <v>212</v>
      </c>
      <c r="L102" s="75">
        <v>1</v>
      </c>
      <c r="M102" s="75">
        <f t="shared" ref="M102" si="57">L102*K102</f>
        <v>212</v>
      </c>
      <c r="N102" s="81"/>
      <c r="O102" s="77">
        <f t="shared" ref="O102" si="58">ROUNDUP(N102+M102,0)</f>
        <v>212</v>
      </c>
      <c r="P102" s="252"/>
      <c r="Q102" s="252"/>
      <c r="S102" s="133"/>
    </row>
    <row r="103" spans="1:19" s="11" customFormat="1" ht="66" hidden="1" customHeight="1">
      <c r="A103" s="80">
        <f t="shared" si="30"/>
        <v>12</v>
      </c>
      <c r="B103" s="249" t="s">
        <v>103</v>
      </c>
      <c r="C103" s="250"/>
      <c r="D103" s="250"/>
      <c r="E103" s="250"/>
      <c r="F103" s="148" t="s">
        <v>36</v>
      </c>
      <c r="G103" s="147"/>
      <c r="H103" s="251" t="str">
        <f>H100</f>
        <v>CAMO</v>
      </c>
      <c r="I103" s="251"/>
      <c r="J103" s="75" t="s">
        <v>30</v>
      </c>
      <c r="K103" s="75">
        <f>K100</f>
        <v>212</v>
      </c>
      <c r="L103" s="75">
        <v>1</v>
      </c>
      <c r="M103" s="75">
        <f t="shared" ref="M103" si="59">L103*K103</f>
        <v>212</v>
      </c>
      <c r="N103" s="81"/>
      <c r="O103" s="77">
        <f t="shared" ref="O103" si="60">ROUNDUP(N103+M103,0)</f>
        <v>212</v>
      </c>
      <c r="P103" s="252"/>
      <c r="Q103" s="252"/>
      <c r="S103" s="133"/>
    </row>
    <row r="104" spans="1:19" s="11" customFormat="1" ht="44" customHeight="1">
      <c r="A104" s="80">
        <f t="shared" si="30"/>
        <v>13</v>
      </c>
      <c r="B104" s="260" t="s">
        <v>160</v>
      </c>
      <c r="C104" s="261"/>
      <c r="D104" s="261"/>
      <c r="E104" s="262"/>
      <c r="F104" s="148" t="s">
        <v>36</v>
      </c>
      <c r="G104" s="147"/>
      <c r="H104" s="251" t="str">
        <f t="shared" ref="H104" si="61">$D$21</f>
        <v>BLACK</v>
      </c>
      <c r="I104" s="251"/>
      <c r="J104" s="75" t="s">
        <v>30</v>
      </c>
      <c r="K104" s="75">
        <f t="shared" ref="K104" si="62">$Q$21</f>
        <v>318</v>
      </c>
      <c r="L104" s="75">
        <v>1</v>
      </c>
      <c r="M104" s="75">
        <f t="shared" si="55"/>
        <v>318</v>
      </c>
      <c r="N104" s="81"/>
      <c r="O104" s="77">
        <f t="shared" si="56"/>
        <v>318</v>
      </c>
      <c r="P104" s="252" t="s">
        <v>367</v>
      </c>
      <c r="Q104" s="252"/>
      <c r="S104" s="133"/>
    </row>
    <row r="105" spans="1:19" s="11" customFormat="1" ht="34.5" hidden="1" customHeight="1">
      <c r="A105" s="80">
        <f t="shared" si="30"/>
        <v>14</v>
      </c>
      <c r="B105" s="260" t="s">
        <v>160</v>
      </c>
      <c r="C105" s="261"/>
      <c r="D105" s="261"/>
      <c r="E105" s="262"/>
      <c r="F105" s="148" t="s">
        <v>36</v>
      </c>
      <c r="G105" s="147"/>
      <c r="H105" s="251" t="str">
        <f>H102</f>
        <v>PUFFINS BILL</v>
      </c>
      <c r="I105" s="251"/>
      <c r="J105" s="75" t="s">
        <v>30</v>
      </c>
      <c r="K105" s="75">
        <f>K102</f>
        <v>212</v>
      </c>
      <c r="L105" s="75">
        <v>1</v>
      </c>
      <c r="M105" s="75">
        <f t="shared" ref="M105" si="63">L105*K105</f>
        <v>212</v>
      </c>
      <c r="N105" s="81"/>
      <c r="O105" s="77">
        <f t="shared" ref="O105" si="64">ROUNDUP(N105+M105,0)</f>
        <v>212</v>
      </c>
      <c r="P105" s="252"/>
      <c r="Q105" s="252"/>
      <c r="S105" s="133"/>
    </row>
    <row r="106" spans="1:19" s="11" customFormat="1" ht="34.5" hidden="1" customHeight="1">
      <c r="A106" s="80">
        <f t="shared" si="30"/>
        <v>15</v>
      </c>
      <c r="B106" s="260" t="s">
        <v>160</v>
      </c>
      <c r="C106" s="261"/>
      <c r="D106" s="261"/>
      <c r="E106" s="262"/>
      <c r="F106" s="148" t="s">
        <v>36</v>
      </c>
      <c r="G106" s="147"/>
      <c r="H106" s="251" t="str">
        <f>H103</f>
        <v>CAMO</v>
      </c>
      <c r="I106" s="251"/>
      <c r="J106" s="75" t="s">
        <v>30</v>
      </c>
      <c r="K106" s="75">
        <f>K103</f>
        <v>212</v>
      </c>
      <c r="L106" s="75">
        <v>1</v>
      </c>
      <c r="M106" s="75">
        <f t="shared" ref="M106" si="65">L106*K106</f>
        <v>212</v>
      </c>
      <c r="N106" s="81"/>
      <c r="O106" s="77">
        <f t="shared" ref="O106" si="66">ROUNDUP(N106+M106,0)</f>
        <v>212</v>
      </c>
      <c r="P106" s="252"/>
      <c r="Q106" s="252"/>
      <c r="S106" s="133"/>
    </row>
    <row r="107" spans="1:19" s="11" customFormat="1" ht="39.5" customHeight="1">
      <c r="A107" s="80">
        <f t="shared" si="30"/>
        <v>16</v>
      </c>
      <c r="B107" s="260" t="s">
        <v>273</v>
      </c>
      <c r="C107" s="261"/>
      <c r="D107" s="261"/>
      <c r="E107" s="262"/>
      <c r="F107" s="148" t="s">
        <v>36</v>
      </c>
      <c r="G107" s="111"/>
      <c r="H107" s="251" t="str">
        <f t="shared" ref="H107" si="67">$D$21</f>
        <v>BLACK</v>
      </c>
      <c r="I107" s="251"/>
      <c r="J107" s="75" t="s">
        <v>10</v>
      </c>
      <c r="K107" s="75">
        <f t="shared" ref="K107" si="68">$Q$21</f>
        <v>318</v>
      </c>
      <c r="L107" s="82">
        <v>0.05</v>
      </c>
      <c r="M107" s="75">
        <f t="shared" ref="M107:M109" si="69">L107*K107</f>
        <v>15.9</v>
      </c>
      <c r="N107" s="81"/>
      <c r="O107" s="77">
        <f t="shared" ref="O107:O109" si="70">ROUNDUP(N107+M107,0)</f>
        <v>16</v>
      </c>
      <c r="P107" s="252" t="s">
        <v>368</v>
      </c>
      <c r="Q107" s="252"/>
      <c r="S107" s="133"/>
    </row>
    <row r="108" spans="1:19" s="11" customFormat="1" ht="34.5" hidden="1" customHeight="1">
      <c r="A108" s="80">
        <f t="shared" si="30"/>
        <v>17</v>
      </c>
      <c r="B108" s="260" t="s">
        <v>273</v>
      </c>
      <c r="C108" s="261"/>
      <c r="D108" s="261"/>
      <c r="E108" s="262"/>
      <c r="F108" s="148" t="s">
        <v>36</v>
      </c>
      <c r="G108" s="111"/>
      <c r="H108" s="251" t="str">
        <f>H105</f>
        <v>PUFFINS BILL</v>
      </c>
      <c r="I108" s="251"/>
      <c r="J108" s="75" t="s">
        <v>10</v>
      </c>
      <c r="K108" s="75">
        <f>K105</f>
        <v>212</v>
      </c>
      <c r="L108" s="82">
        <v>0.05</v>
      </c>
      <c r="M108" s="75">
        <f t="shared" si="69"/>
        <v>10.600000000000001</v>
      </c>
      <c r="N108" s="81"/>
      <c r="O108" s="77">
        <f t="shared" si="70"/>
        <v>11</v>
      </c>
      <c r="P108" s="252"/>
      <c r="Q108" s="252"/>
      <c r="S108" s="133"/>
    </row>
    <row r="109" spans="1:19" s="11" customFormat="1" ht="34.5" hidden="1" customHeight="1">
      <c r="A109" s="80">
        <f t="shared" si="30"/>
        <v>18</v>
      </c>
      <c r="B109" s="260" t="s">
        <v>118</v>
      </c>
      <c r="C109" s="261"/>
      <c r="D109" s="261"/>
      <c r="E109" s="262"/>
      <c r="F109" s="148" t="s">
        <v>36</v>
      </c>
      <c r="G109" s="111"/>
      <c r="H109" s="251" t="str">
        <f>H106</f>
        <v>CAMO</v>
      </c>
      <c r="I109" s="251"/>
      <c r="J109" s="75" t="s">
        <v>10</v>
      </c>
      <c r="K109" s="75">
        <f>K106</f>
        <v>212</v>
      </c>
      <c r="L109" s="82">
        <v>0.05</v>
      </c>
      <c r="M109" s="75">
        <f t="shared" si="69"/>
        <v>10.600000000000001</v>
      </c>
      <c r="N109" s="81"/>
      <c r="O109" s="77">
        <f t="shared" si="70"/>
        <v>11</v>
      </c>
      <c r="P109" s="252"/>
      <c r="Q109" s="252"/>
      <c r="S109" s="133"/>
    </row>
    <row r="110" spans="1:19" s="33" customFormat="1" ht="39" customHeight="1">
      <c r="B110" s="57" t="s">
        <v>61</v>
      </c>
      <c r="C110" s="34"/>
      <c r="D110" s="34"/>
      <c r="E110" s="34"/>
      <c r="G110" s="35"/>
      <c r="H110" s="37"/>
      <c r="I110" s="37"/>
      <c r="J110" s="37"/>
      <c r="K110" s="37"/>
      <c r="L110" s="37"/>
      <c r="M110" s="37"/>
      <c r="N110" s="37"/>
      <c r="O110" s="37"/>
      <c r="Q110" s="36"/>
      <c r="S110" s="139"/>
    </row>
    <row r="111" spans="1:19" s="46" customFormat="1" ht="72">
      <c r="A111" s="263" t="s">
        <v>22</v>
      </c>
      <c r="B111" s="263"/>
      <c r="C111" s="263"/>
      <c r="D111" s="263"/>
      <c r="E111" s="263"/>
      <c r="F111" s="78" t="s">
        <v>44</v>
      </c>
      <c r="G111" s="78" t="s">
        <v>23</v>
      </c>
      <c r="H111" s="264" t="s">
        <v>39</v>
      </c>
      <c r="I111" s="264"/>
      <c r="J111" s="79" t="s">
        <v>18</v>
      </c>
      <c r="K111" s="78" t="s">
        <v>45</v>
      </c>
      <c r="L111" s="78" t="s">
        <v>24</v>
      </c>
      <c r="M111" s="78" t="s">
        <v>25</v>
      </c>
      <c r="N111" s="78" t="s">
        <v>26</v>
      </c>
      <c r="O111" s="78" t="s">
        <v>27</v>
      </c>
      <c r="P111" s="264" t="s">
        <v>28</v>
      </c>
      <c r="Q111" s="264"/>
      <c r="S111" s="140"/>
    </row>
    <row r="112" spans="1:19" s="39" customFormat="1" ht="37" customHeight="1">
      <c r="A112" s="80">
        <f>ROW()-ROW($A$111)</f>
        <v>1</v>
      </c>
      <c r="B112" s="249" t="s">
        <v>104</v>
      </c>
      <c r="C112" s="249"/>
      <c r="D112" s="249"/>
      <c r="E112" s="249"/>
      <c r="F112" s="71" t="s">
        <v>36</v>
      </c>
      <c r="G112" s="71"/>
      <c r="H112" s="251" t="str">
        <f t="shared" ref="H112:H133" si="71">$D$21</f>
        <v>BLACK</v>
      </c>
      <c r="I112" s="251"/>
      <c r="J112" s="75" t="s">
        <v>30</v>
      </c>
      <c r="K112" s="75">
        <f t="shared" ref="K112:K133" si="72">$Q$21</f>
        <v>318</v>
      </c>
      <c r="L112" s="75">
        <v>1</v>
      </c>
      <c r="M112" s="75">
        <f t="shared" ref="M112:M134" si="73">K112*L112</f>
        <v>318</v>
      </c>
      <c r="N112" s="81"/>
      <c r="O112" s="77">
        <f t="shared" ref="O112:O134" si="74">ROUNDUP(N112+M112,0)</f>
        <v>318</v>
      </c>
      <c r="P112" s="252" t="s">
        <v>369</v>
      </c>
      <c r="Q112" s="252"/>
      <c r="S112" s="137"/>
    </row>
    <row r="113" spans="1:19" s="39" customFormat="1" ht="37" hidden="1" customHeight="1">
      <c r="A113" s="80">
        <f t="shared" ref="A113:A135" si="75">ROW()-ROW($A$111)</f>
        <v>2</v>
      </c>
      <c r="B113" s="249" t="s">
        <v>104</v>
      </c>
      <c r="C113" s="249"/>
      <c r="D113" s="249"/>
      <c r="E113" s="249"/>
      <c r="F113" s="148" t="s">
        <v>36</v>
      </c>
      <c r="G113" s="71"/>
      <c r="H113" s="251" t="str">
        <f>H108</f>
        <v>PUFFINS BILL</v>
      </c>
      <c r="I113" s="251"/>
      <c r="J113" s="75" t="s">
        <v>30</v>
      </c>
      <c r="K113" s="75">
        <f>K108</f>
        <v>212</v>
      </c>
      <c r="L113" s="75">
        <v>1</v>
      </c>
      <c r="M113" s="75">
        <f t="shared" si="73"/>
        <v>212</v>
      </c>
      <c r="N113" s="81"/>
      <c r="O113" s="77">
        <f t="shared" si="74"/>
        <v>212</v>
      </c>
      <c r="P113" s="252"/>
      <c r="Q113" s="252"/>
      <c r="S113" s="137"/>
    </row>
    <row r="114" spans="1:19" s="39" customFormat="1" ht="37" hidden="1" customHeight="1">
      <c r="A114" s="80">
        <f t="shared" si="75"/>
        <v>3</v>
      </c>
      <c r="B114" s="249" t="s">
        <v>104</v>
      </c>
      <c r="C114" s="249"/>
      <c r="D114" s="249"/>
      <c r="E114" s="249"/>
      <c r="F114" s="148" t="s">
        <v>36</v>
      </c>
      <c r="G114" s="71"/>
      <c r="H114" s="251" t="str">
        <f>H109</f>
        <v>CAMO</v>
      </c>
      <c r="I114" s="251"/>
      <c r="J114" s="75" t="s">
        <v>30</v>
      </c>
      <c r="K114" s="75">
        <f>K109</f>
        <v>212</v>
      </c>
      <c r="L114" s="75">
        <v>1</v>
      </c>
      <c r="M114" s="75">
        <f t="shared" ref="M114" si="76">K114*L114</f>
        <v>212</v>
      </c>
      <c r="N114" s="81"/>
      <c r="O114" s="77">
        <f t="shared" ref="O114" si="77">ROUNDUP(N114+M114,0)</f>
        <v>212</v>
      </c>
      <c r="P114" s="252"/>
      <c r="Q114" s="252"/>
      <c r="S114" s="137"/>
    </row>
    <row r="115" spans="1:19" s="39" customFormat="1" ht="37" customHeight="1">
      <c r="A115" s="80">
        <f t="shared" si="75"/>
        <v>4</v>
      </c>
      <c r="B115" s="249" t="s">
        <v>161</v>
      </c>
      <c r="C115" s="249"/>
      <c r="D115" s="249"/>
      <c r="E115" s="249"/>
      <c r="F115" s="71" t="s">
        <v>36</v>
      </c>
      <c r="G115" s="71"/>
      <c r="H115" s="251" t="str">
        <f t="shared" si="71"/>
        <v>BLACK</v>
      </c>
      <c r="I115" s="251"/>
      <c r="J115" s="75" t="s">
        <v>87</v>
      </c>
      <c r="K115" s="75">
        <f t="shared" si="72"/>
        <v>318</v>
      </c>
      <c r="L115" s="75">
        <v>1</v>
      </c>
      <c r="M115" s="75">
        <f t="shared" si="73"/>
        <v>318</v>
      </c>
      <c r="N115" s="81"/>
      <c r="O115" s="77">
        <f t="shared" si="74"/>
        <v>318</v>
      </c>
      <c r="P115" s="252" t="s">
        <v>365</v>
      </c>
      <c r="Q115" s="252"/>
      <c r="S115" s="137"/>
    </row>
    <row r="116" spans="1:19" s="39" customFormat="1" ht="37" hidden="1" customHeight="1">
      <c r="A116" s="80">
        <f t="shared" si="75"/>
        <v>5</v>
      </c>
      <c r="B116" s="249" t="s">
        <v>161</v>
      </c>
      <c r="C116" s="249"/>
      <c r="D116" s="249"/>
      <c r="E116" s="249"/>
      <c r="F116" s="71" t="s">
        <v>36</v>
      </c>
      <c r="G116" s="71"/>
      <c r="H116" s="251" t="str">
        <f>H113</f>
        <v>PUFFINS BILL</v>
      </c>
      <c r="I116" s="251"/>
      <c r="J116" s="75" t="s">
        <v>87</v>
      </c>
      <c r="K116" s="75">
        <f>K113</f>
        <v>212</v>
      </c>
      <c r="L116" s="75">
        <v>1</v>
      </c>
      <c r="M116" s="75">
        <f t="shared" si="73"/>
        <v>212</v>
      </c>
      <c r="N116" s="81"/>
      <c r="O116" s="77">
        <f t="shared" si="74"/>
        <v>212</v>
      </c>
      <c r="P116" s="252"/>
      <c r="Q116" s="252"/>
      <c r="S116" s="137"/>
    </row>
    <row r="117" spans="1:19" s="39" customFormat="1" ht="37" hidden="1" customHeight="1">
      <c r="A117" s="80">
        <f t="shared" si="75"/>
        <v>6</v>
      </c>
      <c r="B117" s="249" t="s">
        <v>161</v>
      </c>
      <c r="C117" s="249"/>
      <c r="D117" s="249"/>
      <c r="E117" s="249"/>
      <c r="F117" s="71" t="s">
        <v>36</v>
      </c>
      <c r="G117" s="71"/>
      <c r="H117" s="251" t="str">
        <f>H114</f>
        <v>CAMO</v>
      </c>
      <c r="I117" s="251"/>
      <c r="J117" s="75" t="s">
        <v>87</v>
      </c>
      <c r="K117" s="75">
        <f>K114</f>
        <v>212</v>
      </c>
      <c r="L117" s="75">
        <v>1</v>
      </c>
      <c r="M117" s="75">
        <f t="shared" ref="M117" si="78">K117*L117</f>
        <v>212</v>
      </c>
      <c r="N117" s="81"/>
      <c r="O117" s="77">
        <f t="shared" ref="O117" si="79">ROUNDUP(N117+M117,0)</f>
        <v>212</v>
      </c>
      <c r="P117" s="252"/>
      <c r="Q117" s="252"/>
      <c r="S117" s="137"/>
    </row>
    <row r="118" spans="1:19" s="39" customFormat="1" ht="37" customHeight="1">
      <c r="A118" s="80">
        <f t="shared" si="75"/>
        <v>7</v>
      </c>
      <c r="B118" s="249" t="s">
        <v>106</v>
      </c>
      <c r="C118" s="249"/>
      <c r="D118" s="249"/>
      <c r="E118" s="249"/>
      <c r="F118" s="71" t="s">
        <v>36</v>
      </c>
      <c r="G118" s="71"/>
      <c r="H118" s="251" t="str">
        <f t="shared" si="71"/>
        <v>BLACK</v>
      </c>
      <c r="I118" s="251"/>
      <c r="J118" s="75" t="s">
        <v>30</v>
      </c>
      <c r="K118" s="75">
        <f t="shared" si="72"/>
        <v>318</v>
      </c>
      <c r="L118" s="75">
        <v>1</v>
      </c>
      <c r="M118" s="75">
        <f t="shared" si="73"/>
        <v>318</v>
      </c>
      <c r="N118" s="81"/>
      <c r="O118" s="77">
        <f t="shared" si="74"/>
        <v>318</v>
      </c>
      <c r="P118" s="252"/>
      <c r="Q118" s="252"/>
      <c r="S118" s="137"/>
    </row>
    <row r="119" spans="1:19" s="39" customFormat="1" ht="37" hidden="1" customHeight="1">
      <c r="A119" s="80">
        <f t="shared" si="75"/>
        <v>8</v>
      </c>
      <c r="B119" s="249" t="s">
        <v>106</v>
      </c>
      <c r="C119" s="249"/>
      <c r="D119" s="249"/>
      <c r="E119" s="249"/>
      <c r="F119" s="71" t="s">
        <v>36</v>
      </c>
      <c r="G119" s="71"/>
      <c r="H119" s="251" t="str">
        <f>H116</f>
        <v>PUFFINS BILL</v>
      </c>
      <c r="I119" s="251"/>
      <c r="J119" s="75" t="s">
        <v>30</v>
      </c>
      <c r="K119" s="75">
        <f>K116</f>
        <v>212</v>
      </c>
      <c r="L119" s="75">
        <v>1</v>
      </c>
      <c r="M119" s="75">
        <f t="shared" si="73"/>
        <v>212</v>
      </c>
      <c r="N119" s="81"/>
      <c r="O119" s="77">
        <f t="shared" si="74"/>
        <v>212</v>
      </c>
      <c r="P119" s="252"/>
      <c r="Q119" s="252"/>
      <c r="S119" s="137"/>
    </row>
    <row r="120" spans="1:19" s="39" customFormat="1" ht="37" hidden="1" customHeight="1">
      <c r="A120" s="80">
        <f t="shared" si="75"/>
        <v>9</v>
      </c>
      <c r="B120" s="249" t="s">
        <v>106</v>
      </c>
      <c r="C120" s="249"/>
      <c r="D120" s="249"/>
      <c r="E120" s="249"/>
      <c r="F120" s="71" t="s">
        <v>36</v>
      </c>
      <c r="G120" s="71"/>
      <c r="H120" s="251" t="str">
        <f>H117</f>
        <v>CAMO</v>
      </c>
      <c r="I120" s="251"/>
      <c r="J120" s="75" t="s">
        <v>30</v>
      </c>
      <c r="K120" s="75">
        <f>K117</f>
        <v>212</v>
      </c>
      <c r="L120" s="75">
        <v>1</v>
      </c>
      <c r="M120" s="75">
        <f t="shared" ref="M120" si="80">K120*L120</f>
        <v>212</v>
      </c>
      <c r="N120" s="81"/>
      <c r="O120" s="77">
        <f t="shared" ref="O120" si="81">ROUNDUP(N120+M120,0)</f>
        <v>212</v>
      </c>
      <c r="P120" s="252"/>
      <c r="Q120" s="252"/>
      <c r="S120" s="137"/>
    </row>
    <row r="121" spans="1:19" s="39" customFormat="1" ht="37" customHeight="1">
      <c r="A121" s="80">
        <f t="shared" si="75"/>
        <v>10</v>
      </c>
      <c r="B121" s="249" t="s">
        <v>105</v>
      </c>
      <c r="C121" s="250"/>
      <c r="D121" s="250"/>
      <c r="E121" s="250"/>
      <c r="F121" s="71" t="s">
        <v>36</v>
      </c>
      <c r="G121" s="71"/>
      <c r="H121" s="251" t="str">
        <f t="shared" si="71"/>
        <v>BLACK</v>
      </c>
      <c r="I121" s="251"/>
      <c r="J121" s="75" t="s">
        <v>30</v>
      </c>
      <c r="K121" s="75">
        <f t="shared" si="72"/>
        <v>318</v>
      </c>
      <c r="L121" s="75">
        <v>1</v>
      </c>
      <c r="M121" s="75">
        <f t="shared" si="73"/>
        <v>318</v>
      </c>
      <c r="N121" s="81"/>
      <c r="O121" s="77">
        <f t="shared" si="74"/>
        <v>318</v>
      </c>
      <c r="P121" s="252"/>
      <c r="Q121" s="252"/>
      <c r="S121" s="137"/>
    </row>
    <row r="122" spans="1:19" s="39" customFormat="1" ht="37" hidden="1" customHeight="1">
      <c r="A122" s="80">
        <f t="shared" si="75"/>
        <v>11</v>
      </c>
      <c r="B122" s="249" t="s">
        <v>105</v>
      </c>
      <c r="C122" s="250"/>
      <c r="D122" s="250"/>
      <c r="E122" s="250"/>
      <c r="F122" s="71" t="s">
        <v>36</v>
      </c>
      <c r="G122" s="71"/>
      <c r="H122" s="251" t="str">
        <f>H119</f>
        <v>PUFFINS BILL</v>
      </c>
      <c r="I122" s="251"/>
      <c r="J122" s="75" t="s">
        <v>30</v>
      </c>
      <c r="K122" s="75">
        <f>K119</f>
        <v>212</v>
      </c>
      <c r="L122" s="75">
        <v>1</v>
      </c>
      <c r="M122" s="75">
        <f t="shared" si="73"/>
        <v>212</v>
      </c>
      <c r="N122" s="81"/>
      <c r="O122" s="77">
        <f t="shared" si="74"/>
        <v>212</v>
      </c>
      <c r="P122" s="252"/>
      <c r="Q122" s="252"/>
      <c r="S122" s="137"/>
    </row>
    <row r="123" spans="1:19" s="39" customFormat="1" ht="37" hidden="1" customHeight="1">
      <c r="A123" s="80">
        <f t="shared" si="75"/>
        <v>12</v>
      </c>
      <c r="B123" s="249" t="s">
        <v>105</v>
      </c>
      <c r="C123" s="250"/>
      <c r="D123" s="250"/>
      <c r="E123" s="250"/>
      <c r="F123" s="71" t="s">
        <v>36</v>
      </c>
      <c r="G123" s="71"/>
      <c r="H123" s="251" t="str">
        <f>H120</f>
        <v>CAMO</v>
      </c>
      <c r="I123" s="251"/>
      <c r="J123" s="75" t="s">
        <v>30</v>
      </c>
      <c r="K123" s="75">
        <f>K122</f>
        <v>212</v>
      </c>
      <c r="L123" s="75">
        <v>1</v>
      </c>
      <c r="M123" s="75">
        <f t="shared" ref="M123" si="82">K123*L123</f>
        <v>212</v>
      </c>
      <c r="N123" s="81"/>
      <c r="O123" s="77">
        <f t="shared" ref="O123" si="83">ROUNDUP(N123+M123,0)</f>
        <v>212</v>
      </c>
      <c r="P123" s="252"/>
      <c r="Q123" s="252"/>
      <c r="S123" s="137"/>
    </row>
    <row r="124" spans="1:19" s="39" customFormat="1" ht="37" customHeight="1">
      <c r="A124" s="80">
        <f t="shared" si="75"/>
        <v>13</v>
      </c>
      <c r="B124" s="249" t="s">
        <v>107</v>
      </c>
      <c r="C124" s="249"/>
      <c r="D124" s="249"/>
      <c r="E124" s="249"/>
      <c r="F124" s="71" t="s">
        <v>75</v>
      </c>
      <c r="G124" s="71"/>
      <c r="H124" s="251" t="str">
        <f t="shared" si="71"/>
        <v>BLACK</v>
      </c>
      <c r="I124" s="251"/>
      <c r="J124" s="75" t="s">
        <v>30</v>
      </c>
      <c r="K124" s="75">
        <f t="shared" si="72"/>
        <v>318</v>
      </c>
      <c r="L124" s="75">
        <v>1</v>
      </c>
      <c r="M124" s="75">
        <f t="shared" si="73"/>
        <v>318</v>
      </c>
      <c r="N124" s="81"/>
      <c r="O124" s="77">
        <f t="shared" si="74"/>
        <v>318</v>
      </c>
      <c r="P124" s="252" t="s">
        <v>370</v>
      </c>
      <c r="Q124" s="252"/>
      <c r="S124" s="137"/>
    </row>
    <row r="125" spans="1:19" s="39" customFormat="1" ht="37" hidden="1" customHeight="1">
      <c r="A125" s="80">
        <f t="shared" si="75"/>
        <v>14</v>
      </c>
      <c r="B125" s="249" t="s">
        <v>107</v>
      </c>
      <c r="C125" s="249"/>
      <c r="D125" s="249"/>
      <c r="E125" s="249"/>
      <c r="F125" s="71" t="s">
        <v>75</v>
      </c>
      <c r="G125" s="71"/>
      <c r="H125" s="251" t="str">
        <f>H122</f>
        <v>PUFFINS BILL</v>
      </c>
      <c r="I125" s="251"/>
      <c r="J125" s="75" t="s">
        <v>30</v>
      </c>
      <c r="K125" s="75">
        <f>K122</f>
        <v>212</v>
      </c>
      <c r="L125" s="75">
        <v>1</v>
      </c>
      <c r="M125" s="75">
        <f t="shared" si="73"/>
        <v>212</v>
      </c>
      <c r="N125" s="81"/>
      <c r="O125" s="77">
        <f t="shared" si="74"/>
        <v>212</v>
      </c>
      <c r="P125" s="252"/>
      <c r="Q125" s="252"/>
      <c r="S125" s="137"/>
    </row>
    <row r="126" spans="1:19" s="39" customFormat="1" ht="37" hidden="1" customHeight="1">
      <c r="A126" s="80">
        <f t="shared" si="75"/>
        <v>15</v>
      </c>
      <c r="B126" s="249" t="s">
        <v>107</v>
      </c>
      <c r="C126" s="249"/>
      <c r="D126" s="249"/>
      <c r="E126" s="249"/>
      <c r="F126" s="71" t="s">
        <v>75</v>
      </c>
      <c r="G126" s="71"/>
      <c r="H126" s="251" t="str">
        <f>H123</f>
        <v>CAMO</v>
      </c>
      <c r="I126" s="251"/>
      <c r="J126" s="75" t="s">
        <v>30</v>
      </c>
      <c r="K126" s="75">
        <f>K123</f>
        <v>212</v>
      </c>
      <c r="L126" s="75">
        <v>1</v>
      </c>
      <c r="M126" s="75">
        <f t="shared" ref="M126" si="84">K126*L126</f>
        <v>212</v>
      </c>
      <c r="N126" s="81"/>
      <c r="O126" s="77">
        <f t="shared" ref="O126" si="85">ROUNDUP(N126+M126,0)</f>
        <v>212</v>
      </c>
      <c r="P126" s="252"/>
      <c r="Q126" s="252"/>
      <c r="S126" s="137"/>
    </row>
    <row r="127" spans="1:19" s="39" customFormat="1" ht="37" customHeight="1">
      <c r="A127" s="80">
        <f t="shared" si="75"/>
        <v>16</v>
      </c>
      <c r="B127" s="249" t="s">
        <v>108</v>
      </c>
      <c r="C127" s="249"/>
      <c r="D127" s="249"/>
      <c r="E127" s="249"/>
      <c r="F127" s="71" t="s">
        <v>75</v>
      </c>
      <c r="G127" s="71"/>
      <c r="H127" s="251" t="str">
        <f t="shared" si="71"/>
        <v>BLACK</v>
      </c>
      <c r="I127" s="251"/>
      <c r="J127" s="75" t="s">
        <v>30</v>
      </c>
      <c r="K127" s="75">
        <f t="shared" si="72"/>
        <v>318</v>
      </c>
      <c r="L127" s="82">
        <f>1/50</f>
        <v>0.02</v>
      </c>
      <c r="M127" s="75">
        <f t="shared" si="73"/>
        <v>6.36</v>
      </c>
      <c r="N127" s="81"/>
      <c r="O127" s="77">
        <f t="shared" si="74"/>
        <v>7</v>
      </c>
      <c r="P127" s="252"/>
      <c r="Q127" s="252"/>
      <c r="S127" s="137"/>
    </row>
    <row r="128" spans="1:19" s="39" customFormat="1" ht="37" hidden="1" customHeight="1">
      <c r="A128" s="80">
        <f t="shared" si="75"/>
        <v>17</v>
      </c>
      <c r="B128" s="249" t="s">
        <v>108</v>
      </c>
      <c r="C128" s="249"/>
      <c r="D128" s="249"/>
      <c r="E128" s="249"/>
      <c r="F128" s="71" t="s">
        <v>75</v>
      </c>
      <c r="G128" s="71"/>
      <c r="H128" s="251" t="str">
        <f>H125</f>
        <v>PUFFINS BILL</v>
      </c>
      <c r="I128" s="251"/>
      <c r="J128" s="75" t="s">
        <v>30</v>
      </c>
      <c r="K128" s="75">
        <f>K125</f>
        <v>212</v>
      </c>
      <c r="L128" s="82">
        <f t="shared" ref="L128:L129" si="86">1/50</f>
        <v>0.02</v>
      </c>
      <c r="M128" s="75">
        <f t="shared" si="73"/>
        <v>4.24</v>
      </c>
      <c r="N128" s="81"/>
      <c r="O128" s="77">
        <f t="shared" si="74"/>
        <v>5</v>
      </c>
      <c r="P128" s="252"/>
      <c r="Q128" s="252"/>
      <c r="S128" s="137"/>
    </row>
    <row r="129" spans="1:19" s="39" customFormat="1" ht="37" hidden="1" customHeight="1">
      <c r="A129" s="80">
        <f t="shared" si="75"/>
        <v>18</v>
      </c>
      <c r="B129" s="249" t="s">
        <v>108</v>
      </c>
      <c r="C129" s="249"/>
      <c r="D129" s="249"/>
      <c r="E129" s="249"/>
      <c r="F129" s="71" t="s">
        <v>75</v>
      </c>
      <c r="G129" s="71"/>
      <c r="H129" s="251" t="str">
        <f>H126</f>
        <v>CAMO</v>
      </c>
      <c r="I129" s="251"/>
      <c r="J129" s="75" t="s">
        <v>30</v>
      </c>
      <c r="K129" s="75">
        <f>K126</f>
        <v>212</v>
      </c>
      <c r="L129" s="82">
        <f t="shared" si="86"/>
        <v>0.02</v>
      </c>
      <c r="M129" s="75">
        <f t="shared" ref="M129" si="87">K129*L129</f>
        <v>4.24</v>
      </c>
      <c r="N129" s="81"/>
      <c r="O129" s="77">
        <f t="shared" ref="O129" si="88">ROUNDUP(N129+M129,0)</f>
        <v>5</v>
      </c>
      <c r="P129" s="252"/>
      <c r="Q129" s="252"/>
      <c r="S129" s="137"/>
    </row>
    <row r="130" spans="1:19" s="39" customFormat="1" ht="37" customHeight="1">
      <c r="A130" s="80">
        <f t="shared" si="75"/>
        <v>19</v>
      </c>
      <c r="B130" s="249" t="s">
        <v>88</v>
      </c>
      <c r="C130" s="250"/>
      <c r="D130" s="250"/>
      <c r="E130" s="250"/>
      <c r="F130" s="71" t="s">
        <v>51</v>
      </c>
      <c r="G130" s="71"/>
      <c r="H130" s="251" t="str">
        <f t="shared" si="71"/>
        <v>BLACK</v>
      </c>
      <c r="I130" s="251"/>
      <c r="J130" s="75" t="s">
        <v>30</v>
      </c>
      <c r="K130" s="75">
        <f t="shared" si="72"/>
        <v>318</v>
      </c>
      <c r="L130" s="82">
        <f>1/50</f>
        <v>0.02</v>
      </c>
      <c r="M130" s="75">
        <f t="shared" si="73"/>
        <v>6.36</v>
      </c>
      <c r="N130" s="81"/>
      <c r="O130" s="77">
        <f t="shared" si="74"/>
        <v>7</v>
      </c>
      <c r="P130" s="252"/>
      <c r="Q130" s="252"/>
      <c r="S130" s="137"/>
    </row>
    <row r="131" spans="1:19" s="39" customFormat="1" ht="37" hidden="1" customHeight="1">
      <c r="A131" s="80">
        <f t="shared" si="75"/>
        <v>20</v>
      </c>
      <c r="B131" s="249" t="s">
        <v>88</v>
      </c>
      <c r="C131" s="250"/>
      <c r="D131" s="250"/>
      <c r="E131" s="250"/>
      <c r="F131" s="71" t="s">
        <v>51</v>
      </c>
      <c r="G131" s="71"/>
      <c r="H131" s="251" t="str">
        <f>H128</f>
        <v>PUFFINS BILL</v>
      </c>
      <c r="I131" s="251"/>
      <c r="J131" s="75" t="s">
        <v>30</v>
      </c>
      <c r="K131" s="75">
        <f>K128</f>
        <v>212</v>
      </c>
      <c r="L131" s="82">
        <f t="shared" ref="L131:L132" si="89">1/50</f>
        <v>0.02</v>
      </c>
      <c r="M131" s="75">
        <f t="shared" si="73"/>
        <v>4.24</v>
      </c>
      <c r="N131" s="81"/>
      <c r="O131" s="77">
        <f t="shared" si="74"/>
        <v>5</v>
      </c>
      <c r="P131" s="252"/>
      <c r="Q131" s="252"/>
      <c r="S131" s="137"/>
    </row>
    <row r="132" spans="1:19" s="39" customFormat="1" ht="37" hidden="1" customHeight="1">
      <c r="A132" s="80">
        <f t="shared" si="75"/>
        <v>21</v>
      </c>
      <c r="B132" s="249" t="s">
        <v>88</v>
      </c>
      <c r="C132" s="250"/>
      <c r="D132" s="250"/>
      <c r="E132" s="250"/>
      <c r="F132" s="71" t="s">
        <v>51</v>
      </c>
      <c r="G132" s="71"/>
      <c r="H132" s="251" t="str">
        <f>H129</f>
        <v>CAMO</v>
      </c>
      <c r="I132" s="251"/>
      <c r="J132" s="75" t="s">
        <v>30</v>
      </c>
      <c r="K132" s="75">
        <f>K129</f>
        <v>212</v>
      </c>
      <c r="L132" s="82">
        <f t="shared" si="89"/>
        <v>0.02</v>
      </c>
      <c r="M132" s="75">
        <f t="shared" ref="M132" si="90">K132*L132</f>
        <v>4.24</v>
      </c>
      <c r="N132" s="81"/>
      <c r="O132" s="77">
        <f t="shared" ref="O132" si="91">ROUNDUP(N132+M132,0)</f>
        <v>5</v>
      </c>
      <c r="P132" s="252"/>
      <c r="Q132" s="252"/>
      <c r="S132" s="137"/>
    </row>
    <row r="133" spans="1:19" s="39" customFormat="1" ht="37" customHeight="1">
      <c r="A133" s="80">
        <f t="shared" si="75"/>
        <v>22</v>
      </c>
      <c r="B133" s="249" t="s">
        <v>76</v>
      </c>
      <c r="C133" s="250"/>
      <c r="D133" s="250"/>
      <c r="E133" s="250"/>
      <c r="F133" s="71" t="s">
        <v>51</v>
      </c>
      <c r="G133" s="71"/>
      <c r="H133" s="251" t="str">
        <f t="shared" si="71"/>
        <v>BLACK</v>
      </c>
      <c r="I133" s="251"/>
      <c r="J133" s="75" t="s">
        <v>30</v>
      </c>
      <c r="K133" s="75">
        <f t="shared" si="72"/>
        <v>318</v>
      </c>
      <c r="L133" s="82">
        <f>L130*2</f>
        <v>0.04</v>
      </c>
      <c r="M133" s="75">
        <f t="shared" si="73"/>
        <v>12.72</v>
      </c>
      <c r="N133" s="81"/>
      <c r="O133" s="77">
        <f t="shared" si="74"/>
        <v>13</v>
      </c>
      <c r="P133" s="252"/>
      <c r="Q133" s="252"/>
      <c r="S133" s="137"/>
    </row>
    <row r="134" spans="1:19" s="39" customFormat="1" ht="37" hidden="1" customHeight="1">
      <c r="A134" s="80">
        <f t="shared" si="75"/>
        <v>23</v>
      </c>
      <c r="B134" s="249" t="s">
        <v>76</v>
      </c>
      <c r="C134" s="250"/>
      <c r="D134" s="250"/>
      <c r="E134" s="250"/>
      <c r="F134" s="71" t="s">
        <v>51</v>
      </c>
      <c r="G134" s="71"/>
      <c r="H134" s="251" t="str">
        <f>H131</f>
        <v>PUFFINS BILL</v>
      </c>
      <c r="I134" s="251"/>
      <c r="J134" s="75" t="s">
        <v>30</v>
      </c>
      <c r="K134" s="75">
        <f>K132</f>
        <v>212</v>
      </c>
      <c r="L134" s="82">
        <f>L131*2</f>
        <v>0.04</v>
      </c>
      <c r="M134" s="75">
        <f t="shared" si="73"/>
        <v>8.48</v>
      </c>
      <c r="N134" s="81"/>
      <c r="O134" s="77">
        <f t="shared" si="74"/>
        <v>9</v>
      </c>
      <c r="P134" s="252"/>
      <c r="Q134" s="252"/>
      <c r="S134" s="137"/>
    </row>
    <row r="135" spans="1:19" s="39" customFormat="1" ht="37" hidden="1" customHeight="1">
      <c r="A135" s="80">
        <f t="shared" si="75"/>
        <v>24</v>
      </c>
      <c r="B135" s="249" t="s">
        <v>76</v>
      </c>
      <c r="C135" s="250"/>
      <c r="D135" s="250"/>
      <c r="E135" s="250"/>
      <c r="F135" s="71" t="s">
        <v>51</v>
      </c>
      <c r="G135" s="71"/>
      <c r="H135" s="251" t="str">
        <f>H132</f>
        <v>CAMO</v>
      </c>
      <c r="I135" s="251"/>
      <c r="J135" s="75" t="s">
        <v>30</v>
      </c>
      <c r="K135" s="75">
        <f>K132</f>
        <v>212</v>
      </c>
      <c r="L135" s="82">
        <f>L132*2</f>
        <v>0.04</v>
      </c>
      <c r="M135" s="75">
        <f t="shared" ref="M135" si="92">K135*L135</f>
        <v>8.48</v>
      </c>
      <c r="N135" s="81"/>
      <c r="O135" s="77">
        <f t="shared" ref="O135" si="93">ROUNDUP(N135+M135,0)</f>
        <v>9</v>
      </c>
      <c r="P135" s="252"/>
      <c r="Q135" s="252"/>
      <c r="S135" s="137"/>
    </row>
    <row r="136" spans="1:19" s="11" customFormat="1" ht="32.5">
      <c r="A136" s="58"/>
      <c r="B136" s="58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S136" s="133"/>
    </row>
    <row r="137" spans="1:19" s="11" customFormat="1" ht="33" customHeight="1">
      <c r="B137" s="53" t="s">
        <v>62</v>
      </c>
      <c r="C137" s="54"/>
      <c r="D137" s="55"/>
      <c r="E137" s="55"/>
      <c r="F137" s="55"/>
      <c r="G137" s="56"/>
      <c r="H137" s="55"/>
      <c r="I137" s="55"/>
      <c r="J137" s="248" t="s">
        <v>31</v>
      </c>
      <c r="K137" s="248"/>
      <c r="L137" s="248"/>
      <c r="M137" s="248"/>
      <c r="N137" s="248"/>
      <c r="O137" s="38"/>
      <c r="P137" s="38"/>
      <c r="Q137" s="39"/>
      <c r="S137" s="133"/>
    </row>
    <row r="138" spans="1:19" s="154" customFormat="1" ht="54.5" customHeight="1">
      <c r="A138" s="154">
        <v>1</v>
      </c>
      <c r="B138" s="155" t="s">
        <v>110</v>
      </c>
      <c r="C138" s="156" t="s">
        <v>325</v>
      </c>
      <c r="D138" s="157"/>
      <c r="E138" s="157"/>
      <c r="F138" s="157"/>
      <c r="G138" s="158"/>
      <c r="H138" s="158"/>
      <c r="I138" s="158"/>
      <c r="J138" s="158"/>
      <c r="K138" s="159"/>
      <c r="L138" s="159"/>
      <c r="M138" s="158"/>
      <c r="N138" s="158"/>
      <c r="O138" s="158"/>
      <c r="P138" s="158"/>
      <c r="Q138" s="158"/>
      <c r="S138" s="160"/>
    </row>
    <row r="139" spans="1:19" s="11" customFormat="1" ht="39.5" customHeight="1">
      <c r="A139" s="58"/>
      <c r="B139" s="265" t="s">
        <v>314</v>
      </c>
      <c r="C139" s="266"/>
      <c r="D139" s="266"/>
      <c r="E139" s="266"/>
      <c r="F139" s="266"/>
      <c r="G139" s="266"/>
      <c r="H139" s="266"/>
      <c r="I139" s="267"/>
      <c r="J139" s="40"/>
      <c r="K139" s="15"/>
      <c r="L139" s="15"/>
      <c r="M139" s="40"/>
      <c r="N139" s="40"/>
      <c r="O139" s="40"/>
      <c r="P139" s="40"/>
      <c r="Q139" s="40"/>
      <c r="S139" s="133"/>
    </row>
    <row r="140" spans="1:19" s="11" customFormat="1" ht="39" customHeight="1">
      <c r="A140" s="58"/>
      <c r="B140" s="271" t="s">
        <v>39</v>
      </c>
      <c r="C140" s="272"/>
      <c r="D140" s="273" t="s">
        <v>98</v>
      </c>
      <c r="E140" s="274"/>
      <c r="F140" s="274"/>
      <c r="G140" s="274"/>
      <c r="H140" s="274"/>
      <c r="I140" s="275"/>
      <c r="J140" s="40"/>
      <c r="K140" s="40"/>
      <c r="L140" s="40"/>
      <c r="M140" s="40"/>
      <c r="N140" s="40"/>
      <c r="O140" s="40"/>
      <c r="P140" s="40"/>
      <c r="Q140" s="40"/>
      <c r="S140" s="133"/>
    </row>
    <row r="141" spans="1:19" s="2" customFormat="1" ht="132.5" customHeight="1">
      <c r="A141" s="146"/>
      <c r="B141" s="279" t="str">
        <f t="shared" ref="B141" si="94">$D$21</f>
        <v>BLACK</v>
      </c>
      <c r="C141" s="279"/>
      <c r="D141" s="257" t="s">
        <v>329</v>
      </c>
      <c r="E141" s="258"/>
      <c r="F141" s="258"/>
      <c r="G141" s="258"/>
      <c r="H141" s="258"/>
      <c r="I141" s="259"/>
      <c r="J141" s="4"/>
      <c r="K141" s="4"/>
      <c r="L141" s="4"/>
      <c r="M141" s="4"/>
      <c r="N141" s="4"/>
      <c r="O141" s="4"/>
      <c r="S141" s="131"/>
    </row>
    <row r="142" spans="1:19" s="2" customFormat="1" ht="39" hidden="1">
      <c r="A142" s="146"/>
      <c r="B142" s="279" t="str">
        <f>D49</f>
        <v>OGRANGE</v>
      </c>
      <c r="C142" s="279"/>
      <c r="D142" s="257" t="s">
        <v>272</v>
      </c>
      <c r="E142" s="258"/>
      <c r="F142" s="258"/>
      <c r="G142" s="258"/>
      <c r="H142" s="258"/>
      <c r="I142" s="259"/>
      <c r="J142" s="4"/>
      <c r="K142" s="4"/>
      <c r="L142" s="4"/>
      <c r="M142" s="4"/>
      <c r="N142" s="4"/>
      <c r="O142" s="4"/>
      <c r="S142" s="131"/>
    </row>
    <row r="143" spans="1:19" s="2" customFormat="1" ht="41.5" hidden="1" customHeight="1">
      <c r="A143" s="146"/>
      <c r="B143" s="279" t="str">
        <f t="shared" ref="B143" si="95">$D$32</f>
        <v>OPEN AIR</v>
      </c>
      <c r="C143" s="279"/>
      <c r="D143" s="257" t="s">
        <v>263</v>
      </c>
      <c r="E143" s="258"/>
      <c r="F143" s="258"/>
      <c r="G143" s="258"/>
      <c r="H143" s="258"/>
      <c r="I143" s="259"/>
      <c r="J143" s="4"/>
      <c r="K143" s="4"/>
      <c r="L143" s="4"/>
      <c r="M143" s="4"/>
      <c r="N143" s="4"/>
      <c r="O143" s="4"/>
      <c r="S143" s="131"/>
    </row>
    <row r="144" spans="1:19" s="2" customFormat="1" ht="41.5" hidden="1" customHeight="1">
      <c r="A144" s="146"/>
      <c r="B144" s="279" t="str">
        <f t="shared" ref="B144" si="96">$D$38</f>
        <v>SAND</v>
      </c>
      <c r="C144" s="279"/>
      <c r="D144" s="257" t="s">
        <v>263</v>
      </c>
      <c r="E144" s="258"/>
      <c r="F144" s="258"/>
      <c r="G144" s="258"/>
      <c r="H144" s="258"/>
      <c r="I144" s="259"/>
      <c r="J144" s="4"/>
      <c r="K144" s="4"/>
      <c r="L144" s="4"/>
      <c r="M144" s="4"/>
      <c r="N144" s="4"/>
      <c r="O144" s="4"/>
      <c r="S144" s="131"/>
    </row>
    <row r="145" spans="1:21" s="11" customFormat="1" ht="32.5">
      <c r="S145" s="133"/>
    </row>
    <row r="146" spans="1:21" s="11" customFormat="1" ht="32.5">
      <c r="A146" s="58"/>
      <c r="B146" s="310" t="s">
        <v>266</v>
      </c>
      <c r="C146" s="310"/>
      <c r="D146" s="310"/>
      <c r="E146" s="310"/>
      <c r="F146" s="310"/>
      <c r="G146" s="310"/>
      <c r="H146" s="310"/>
      <c r="I146" s="310"/>
      <c r="J146" s="310"/>
      <c r="K146" s="40"/>
      <c r="L146" s="40"/>
      <c r="S146" s="133"/>
    </row>
    <row r="147" spans="1:21" s="11" customFormat="1" ht="40.5" customHeight="1">
      <c r="A147" s="58"/>
      <c r="B147" s="308"/>
      <c r="C147" s="309"/>
      <c r="D147" s="59" t="s">
        <v>85</v>
      </c>
      <c r="E147" s="59" t="s">
        <v>56</v>
      </c>
      <c r="F147" s="59" t="s">
        <v>10</v>
      </c>
      <c r="G147" s="59" t="s">
        <v>53</v>
      </c>
      <c r="H147" s="59" t="s">
        <v>54</v>
      </c>
      <c r="I147" s="59" t="s">
        <v>100</v>
      </c>
      <c r="J147" s="59" t="s">
        <v>97</v>
      </c>
      <c r="K147" s="40"/>
      <c r="L147" s="40"/>
      <c r="U147" s="133"/>
    </row>
    <row r="148" spans="1:21" s="11" customFormat="1" ht="85.5" customHeight="1">
      <c r="A148" s="58"/>
      <c r="B148" s="253" t="s">
        <v>316</v>
      </c>
      <c r="C148" s="253"/>
      <c r="D148" s="254" t="s">
        <v>317</v>
      </c>
      <c r="E148" s="255"/>
      <c r="F148" s="255"/>
      <c r="G148" s="255"/>
      <c r="H148" s="255"/>
      <c r="I148" s="255"/>
      <c r="J148" s="256"/>
      <c r="K148" s="40"/>
      <c r="T148" s="133"/>
    </row>
    <row r="149" spans="1:21" s="11" customFormat="1" ht="98" customHeight="1">
      <c r="A149" s="58"/>
      <c r="B149" s="253" t="s">
        <v>315</v>
      </c>
      <c r="C149" s="253"/>
      <c r="D149" s="254" t="s">
        <v>310</v>
      </c>
      <c r="E149" s="255"/>
      <c r="F149" s="255"/>
      <c r="G149" s="255"/>
      <c r="H149" s="255"/>
      <c r="I149" s="255"/>
      <c r="J149" s="256"/>
      <c r="K149" s="40"/>
      <c r="T149" s="133"/>
    </row>
    <row r="150" spans="1:21" s="11" customFormat="1" ht="151.5" hidden="1" customHeight="1">
      <c r="A150" s="58"/>
      <c r="B150" s="253" t="s">
        <v>109</v>
      </c>
      <c r="C150" s="253"/>
      <c r="D150" s="254" t="s">
        <v>155</v>
      </c>
      <c r="E150" s="255"/>
      <c r="F150" s="255"/>
      <c r="G150" s="255"/>
      <c r="H150" s="255"/>
      <c r="I150" s="255"/>
      <c r="J150" s="256"/>
      <c r="K150" s="40"/>
      <c r="T150" s="133"/>
    </row>
    <row r="151" spans="1:21" s="11" customFormat="1" ht="85.5" customHeight="1">
      <c r="A151" s="58"/>
      <c r="B151" s="253" t="s">
        <v>326</v>
      </c>
      <c r="C151" s="253"/>
      <c r="D151" s="254" t="s">
        <v>327</v>
      </c>
      <c r="E151" s="255"/>
      <c r="F151" s="255"/>
      <c r="G151" s="255"/>
      <c r="H151" s="255"/>
      <c r="I151" s="255"/>
      <c r="J151" s="256"/>
      <c r="K151" s="40"/>
      <c r="T151" s="133"/>
    </row>
    <row r="152" spans="1:21" s="11" customFormat="1" ht="130.5" customHeight="1">
      <c r="A152" s="58"/>
      <c r="B152" s="253" t="s">
        <v>109</v>
      </c>
      <c r="C152" s="253"/>
      <c r="D152" s="254" t="s">
        <v>328</v>
      </c>
      <c r="E152" s="255"/>
      <c r="F152" s="255"/>
      <c r="G152" s="255"/>
      <c r="H152" s="255"/>
      <c r="I152" s="255"/>
      <c r="J152" s="256"/>
      <c r="K152" s="40"/>
      <c r="T152" s="133"/>
    </row>
    <row r="153" spans="1:21" s="11" customFormat="1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40"/>
      <c r="K153" s="40"/>
      <c r="L153" s="40"/>
      <c r="M153" s="40"/>
      <c r="N153" s="40"/>
      <c r="O153" s="40"/>
      <c r="P153" s="40"/>
      <c r="Q153" s="40"/>
      <c r="S153" s="133"/>
    </row>
    <row r="154" spans="1:21" s="154" customFormat="1" ht="54.5" customHeight="1">
      <c r="A154" s="161">
        <v>2</v>
      </c>
      <c r="B154" s="155" t="s">
        <v>111</v>
      </c>
      <c r="C154" s="161" t="s">
        <v>92</v>
      </c>
      <c r="D154" s="161"/>
      <c r="E154" s="161"/>
      <c r="F154" s="161"/>
      <c r="G154" s="158"/>
      <c r="H154" s="158"/>
      <c r="I154" s="158"/>
      <c r="J154" s="158"/>
      <c r="K154" s="159"/>
      <c r="L154" s="159"/>
      <c r="M154" s="158"/>
      <c r="N154" s="158"/>
      <c r="O154" s="158"/>
      <c r="P154" s="158"/>
      <c r="Q154" s="158"/>
      <c r="S154" s="160"/>
    </row>
    <row r="155" spans="1:21" s="11" customFormat="1" ht="32.5" hidden="1">
      <c r="A155" s="58"/>
      <c r="B155" s="265" t="s">
        <v>46</v>
      </c>
      <c r="C155" s="266"/>
      <c r="D155" s="266"/>
      <c r="E155" s="266"/>
      <c r="F155" s="266"/>
      <c r="G155" s="266"/>
      <c r="H155" s="266"/>
      <c r="I155" s="267"/>
      <c r="J155" s="40"/>
      <c r="K155" s="15"/>
      <c r="L155" s="15"/>
      <c r="M155" s="40"/>
      <c r="N155" s="40"/>
      <c r="O155" s="40"/>
      <c r="P155" s="40"/>
      <c r="Q155" s="40"/>
      <c r="S155" s="133"/>
    </row>
    <row r="156" spans="1:21" s="11" customFormat="1" ht="63" hidden="1" customHeight="1">
      <c r="A156" s="58"/>
      <c r="B156" s="271" t="s">
        <v>39</v>
      </c>
      <c r="C156" s="272"/>
      <c r="D156" s="273" t="s">
        <v>65</v>
      </c>
      <c r="E156" s="274"/>
      <c r="F156" s="274"/>
      <c r="G156" s="274"/>
      <c r="H156" s="274"/>
      <c r="I156" s="275"/>
      <c r="J156" s="40"/>
      <c r="K156" s="40"/>
      <c r="L156" s="40"/>
      <c r="M156" s="40"/>
      <c r="N156" s="40"/>
      <c r="O156" s="40"/>
      <c r="P156" s="40"/>
      <c r="Q156" s="40"/>
      <c r="S156" s="133"/>
    </row>
    <row r="157" spans="1:21" s="11" customFormat="1" ht="72" hidden="1" customHeight="1">
      <c r="A157" s="58"/>
      <c r="B157" s="270" t="str">
        <f>$D$21</f>
        <v>BLACK</v>
      </c>
      <c r="C157" s="270" t="str">
        <f t="shared" ref="C157:C160" si="97">$E$67</f>
        <v>BLACK</v>
      </c>
      <c r="D157" s="276" t="s">
        <v>81</v>
      </c>
      <c r="E157" s="277"/>
      <c r="F157" s="277"/>
      <c r="G157" s="277"/>
      <c r="H157" s="277"/>
      <c r="I157" s="278"/>
      <c r="J157" s="40"/>
      <c r="K157" s="40"/>
      <c r="L157" s="40"/>
      <c r="M157" s="40"/>
      <c r="N157" s="40"/>
      <c r="O157" s="40"/>
      <c r="S157" s="133"/>
    </row>
    <row r="158" spans="1:21" s="11" customFormat="1" ht="54" hidden="1" customHeight="1">
      <c r="A158" s="58"/>
      <c r="B158" s="270">
        <f t="shared" ref="B158" si="98">$D$26</f>
        <v>0</v>
      </c>
      <c r="C158" s="270"/>
      <c r="D158" s="276" t="s">
        <v>80</v>
      </c>
      <c r="E158" s="277"/>
      <c r="F158" s="277"/>
      <c r="G158" s="277"/>
      <c r="H158" s="277"/>
      <c r="I158" s="278"/>
      <c r="J158" s="40"/>
      <c r="K158" s="40"/>
      <c r="L158" s="40"/>
      <c r="M158" s="40"/>
      <c r="N158" s="40"/>
      <c r="O158" s="40"/>
      <c r="S158" s="133"/>
    </row>
    <row r="159" spans="1:21" s="11" customFormat="1" ht="78.75" hidden="1" customHeight="1">
      <c r="A159" s="58"/>
      <c r="B159" s="270" t="str">
        <f>$D$32</f>
        <v>OPEN AIR</v>
      </c>
      <c r="C159" s="270" t="str">
        <f t="shared" si="97"/>
        <v>BLACK</v>
      </c>
      <c r="D159" s="276" t="s">
        <v>81</v>
      </c>
      <c r="E159" s="277"/>
      <c r="F159" s="277"/>
      <c r="G159" s="277"/>
      <c r="H159" s="277"/>
      <c r="I159" s="278"/>
      <c r="J159" s="40"/>
      <c r="K159" s="40"/>
      <c r="L159" s="40"/>
      <c r="M159" s="40"/>
      <c r="N159" s="40"/>
      <c r="O159" s="40"/>
      <c r="S159" s="133"/>
    </row>
    <row r="160" spans="1:21" s="11" customFormat="1" ht="54" hidden="1" customHeight="1">
      <c r="A160" s="58"/>
      <c r="B160" s="270" t="e">
        <f>#REF!</f>
        <v>#REF!</v>
      </c>
      <c r="C160" s="270" t="str">
        <f t="shared" si="97"/>
        <v>BLACK</v>
      </c>
      <c r="D160" s="276" t="s">
        <v>80</v>
      </c>
      <c r="E160" s="277"/>
      <c r="F160" s="277"/>
      <c r="G160" s="277"/>
      <c r="H160" s="277"/>
      <c r="I160" s="278"/>
      <c r="J160" s="40"/>
      <c r="K160" s="40"/>
      <c r="L160" s="40"/>
      <c r="M160" s="40"/>
      <c r="N160" s="40"/>
      <c r="O160" s="40"/>
      <c r="S160" s="133"/>
    </row>
    <row r="161" spans="1:19" s="11" customFormat="1" ht="54" hidden="1" customHeight="1">
      <c r="A161" s="58"/>
      <c r="B161" s="86"/>
      <c r="C161" s="87"/>
      <c r="D161" s="88"/>
      <c r="E161" s="72"/>
      <c r="F161" s="72"/>
      <c r="G161" s="72"/>
      <c r="H161" s="72"/>
      <c r="I161" s="73"/>
      <c r="J161" s="40"/>
      <c r="K161" s="40"/>
      <c r="L161" s="40"/>
      <c r="M161" s="40"/>
      <c r="N161" s="40"/>
      <c r="O161" s="40"/>
      <c r="S161" s="133"/>
    </row>
    <row r="162" spans="1:19" s="11" customFormat="1" ht="32.5" hidden="1">
      <c r="A162" s="58"/>
      <c r="B162" s="265" t="s">
        <v>66</v>
      </c>
      <c r="C162" s="266"/>
      <c r="D162" s="268"/>
      <c r="E162" s="268"/>
      <c r="F162" s="268"/>
      <c r="G162" s="268"/>
      <c r="H162" s="268"/>
      <c r="I162" s="269"/>
      <c r="J162" s="40"/>
      <c r="K162" s="40"/>
      <c r="L162" s="40"/>
      <c r="S162" s="133"/>
    </row>
    <row r="163" spans="1:19" s="11" customFormat="1" ht="56.25" hidden="1" customHeight="1">
      <c r="A163" s="58"/>
      <c r="B163" s="308"/>
      <c r="C163" s="309"/>
      <c r="D163" s="59" t="s">
        <v>85</v>
      </c>
      <c r="E163" s="59" t="s">
        <v>56</v>
      </c>
      <c r="F163" s="59" t="s">
        <v>10</v>
      </c>
      <c r="G163" s="59" t="s">
        <v>53</v>
      </c>
      <c r="H163" s="59" t="s">
        <v>54</v>
      </c>
      <c r="I163" s="59" t="s">
        <v>55</v>
      </c>
      <c r="J163" s="40"/>
      <c r="S163" s="133"/>
    </row>
    <row r="164" spans="1:19" s="11" customFormat="1" ht="151.5" hidden="1" customHeight="1">
      <c r="A164" s="58"/>
      <c r="B164" s="280" t="s">
        <v>86</v>
      </c>
      <c r="C164" s="280"/>
      <c r="D164" s="68"/>
      <c r="E164" s="69"/>
      <c r="F164" s="69"/>
      <c r="G164" s="69"/>
      <c r="H164" s="69"/>
      <c r="I164" s="69"/>
      <c r="J164" s="40"/>
      <c r="S164" s="133"/>
    </row>
    <row r="165" spans="1:19" s="154" customFormat="1" ht="63.65" customHeight="1">
      <c r="A165" s="161">
        <v>3</v>
      </c>
      <c r="B165" s="155" t="s">
        <v>112</v>
      </c>
      <c r="C165" s="156" t="s">
        <v>318</v>
      </c>
      <c r="D165" s="156"/>
      <c r="E165" s="156"/>
      <c r="F165" s="156"/>
      <c r="G165" s="158"/>
      <c r="H165" s="158"/>
      <c r="I165" s="158"/>
      <c r="J165" s="158"/>
      <c r="K165" s="159"/>
      <c r="L165" s="159"/>
      <c r="M165" s="158"/>
      <c r="N165" s="158"/>
      <c r="O165" s="158"/>
      <c r="P165" s="158"/>
      <c r="Q165" s="158"/>
      <c r="S165" s="160"/>
    </row>
    <row r="166" spans="1:19" s="11" customFormat="1" ht="30" customHeight="1">
      <c r="A166" s="58"/>
      <c r="B166" s="58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S166" s="133"/>
    </row>
    <row r="167" spans="1:19" s="11" customFormat="1" ht="45.65" customHeight="1">
      <c r="B167" s="248" t="s">
        <v>73</v>
      </c>
      <c r="C167" s="248"/>
      <c r="D167" s="248"/>
      <c r="E167" s="248"/>
      <c r="G167" s="40"/>
      <c r="N167" s="39"/>
      <c r="O167" s="38"/>
      <c r="P167" s="38"/>
      <c r="Q167" s="39"/>
      <c r="S167" s="133"/>
    </row>
    <row r="168" spans="1:19" s="11" customFormat="1" ht="35.25" customHeight="1">
      <c r="A168" s="58">
        <v>1</v>
      </c>
      <c r="B168" s="60" t="s">
        <v>50</v>
      </c>
      <c r="C168" s="58"/>
      <c r="D168" s="58"/>
      <c r="G168" s="40"/>
      <c r="N168" s="39"/>
      <c r="O168" s="38"/>
      <c r="P168" s="38"/>
      <c r="Q168" s="39"/>
      <c r="S168" s="133"/>
    </row>
    <row r="169" spans="1:19" s="11" customFormat="1" ht="35.25" customHeight="1">
      <c r="A169" s="58">
        <v>2</v>
      </c>
      <c r="B169" s="60" t="s">
        <v>63</v>
      </c>
      <c r="C169" s="58"/>
      <c r="D169" s="58"/>
      <c r="G169" s="40"/>
      <c r="N169" s="39"/>
      <c r="O169" s="38"/>
      <c r="P169" s="38"/>
      <c r="Q169" s="39"/>
      <c r="S169" s="133"/>
    </row>
    <row r="170" spans="1:19" s="11" customFormat="1" ht="35.25" customHeight="1">
      <c r="A170" s="58">
        <v>3</v>
      </c>
      <c r="B170" s="60" t="s">
        <v>64</v>
      </c>
      <c r="C170" s="58"/>
      <c r="D170" s="58"/>
      <c r="G170" s="40"/>
      <c r="N170" s="39"/>
      <c r="O170" s="38"/>
      <c r="P170" s="38"/>
      <c r="Q170" s="39"/>
      <c r="S170" s="133"/>
    </row>
    <row r="171" spans="1:19" s="14" customFormat="1" ht="55.5" customHeight="1">
      <c r="A171" s="12"/>
      <c r="B171" s="41" t="s">
        <v>57</v>
      </c>
      <c r="C171" s="151" t="s">
        <v>85</v>
      </c>
      <c r="D171" s="151" t="s">
        <v>56</v>
      </c>
      <c r="E171" s="151" t="s">
        <v>10</v>
      </c>
      <c r="F171" s="151" t="s">
        <v>53</v>
      </c>
      <c r="G171" s="151" t="s">
        <v>54</v>
      </c>
      <c r="H171" s="151" t="s">
        <v>100</v>
      </c>
      <c r="I171" s="152" t="s">
        <v>97</v>
      </c>
      <c r="J171" s="152" t="s">
        <v>11</v>
      </c>
      <c r="M171" s="42"/>
      <c r="N171" s="43"/>
      <c r="O171" s="43"/>
      <c r="P171" s="42"/>
      <c r="S171" s="141"/>
    </row>
    <row r="172" spans="1:19" s="14" customFormat="1" ht="55.5" customHeight="1">
      <c r="A172" s="12"/>
      <c r="B172" s="41" t="s">
        <v>58</v>
      </c>
      <c r="C172" s="153">
        <f t="shared" ref="C172:I172" si="99">F63</f>
        <v>16</v>
      </c>
      <c r="D172" s="153">
        <f t="shared" si="99"/>
        <v>48</v>
      </c>
      <c r="E172" s="153">
        <f t="shared" si="99"/>
        <v>93</v>
      </c>
      <c r="F172" s="153">
        <f t="shared" si="99"/>
        <v>82</v>
      </c>
      <c r="G172" s="153">
        <f t="shared" si="99"/>
        <v>47</v>
      </c>
      <c r="H172" s="153">
        <f t="shared" si="99"/>
        <v>21</v>
      </c>
      <c r="I172" s="153">
        <f t="shared" si="99"/>
        <v>11</v>
      </c>
      <c r="J172" s="153">
        <f>SUM(C172:I172)</f>
        <v>318</v>
      </c>
      <c r="M172" s="42"/>
      <c r="N172" s="43"/>
      <c r="O172" s="43"/>
      <c r="P172" s="42"/>
      <c r="S172" s="141"/>
    </row>
    <row r="173" spans="1:19" s="61" customFormat="1" ht="32.5">
      <c r="G173" s="62"/>
      <c r="S173" s="142"/>
    </row>
    <row r="174" spans="1:19" s="61" customFormat="1" ht="32.5">
      <c r="B174" s="171" t="s">
        <v>309</v>
      </c>
      <c r="G174" s="62"/>
      <c r="S174" s="142"/>
    </row>
    <row r="175" spans="1:19" s="61" customFormat="1" ht="71">
      <c r="B175" s="172"/>
      <c r="G175" s="62"/>
      <c r="S175" s="142"/>
    </row>
    <row r="176" spans="1:19" s="61" customFormat="1" ht="32.5">
      <c r="G176" s="62"/>
      <c r="S176" s="142"/>
    </row>
    <row r="177" spans="7:19" s="61" customFormat="1" ht="32.5">
      <c r="G177" s="62"/>
      <c r="S177" s="142"/>
    </row>
    <row r="178" spans="7:19" s="61" customFormat="1" ht="32.5">
      <c r="G178" s="62"/>
      <c r="S178" s="142"/>
    </row>
    <row r="179" spans="7:19" s="61" customFormat="1" ht="32.5">
      <c r="G179" s="62"/>
      <c r="S179" s="142"/>
    </row>
    <row r="180" spans="7:19" s="61" customFormat="1" ht="32.5">
      <c r="G180" s="62"/>
      <c r="S180" s="142"/>
    </row>
    <row r="181" spans="7:19" s="61" customFormat="1" ht="32.5">
      <c r="G181" s="62"/>
      <c r="S181" s="142"/>
    </row>
    <row r="182" spans="7:19" s="61" customFormat="1" ht="32.5">
      <c r="G182" s="62"/>
      <c r="S182" s="142"/>
    </row>
    <row r="183" spans="7:19" s="61" customFormat="1" ht="32.5">
      <c r="G183" s="62"/>
      <c r="S183" s="142"/>
    </row>
    <row r="184" spans="7:19" s="61" customFormat="1" ht="32.5">
      <c r="G184" s="62"/>
      <c r="S184" s="142"/>
    </row>
    <row r="185" spans="7:19" s="61" customFormat="1" ht="32.5">
      <c r="G185" s="62"/>
      <c r="S185" s="142"/>
    </row>
    <row r="186" spans="7:19" s="61" customFormat="1" ht="32.5">
      <c r="G186" s="62"/>
      <c r="S186" s="142"/>
    </row>
    <row r="187" spans="7:19" s="61" customFormat="1" ht="32.5">
      <c r="G187" s="62"/>
      <c r="S187" s="142"/>
    </row>
    <row r="188" spans="7:19" s="61" customFormat="1" ht="32.5">
      <c r="G188" s="62"/>
      <c r="S188" s="142"/>
    </row>
    <row r="189" spans="7:19" s="61" customFormat="1" ht="32.5">
      <c r="G189" s="62"/>
      <c r="S189" s="142"/>
    </row>
    <row r="190" spans="7:19" s="61" customFormat="1" ht="32.5">
      <c r="G190" s="62"/>
      <c r="S190" s="142"/>
    </row>
    <row r="191" spans="7:19" s="61" customFormat="1" ht="32.5">
      <c r="G191" s="62"/>
      <c r="H191" s="44"/>
      <c r="I191" s="44"/>
      <c r="S191" s="142"/>
    </row>
    <row r="192" spans="7:19" s="61" customFormat="1" ht="32.5">
      <c r="G192" s="62"/>
      <c r="H192" s="44"/>
      <c r="I192" s="44"/>
      <c r="S192" s="142"/>
    </row>
  </sheetData>
  <autoFilter ref="A91:U135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BLACK"/>
        <filter val="MÀU VẢI"/>
      </filters>
    </filterColumn>
    <filterColumn colId="15" showButton="0"/>
  </autoFilter>
  <mergeCells count="222">
    <mergeCell ref="A72:Q72"/>
    <mergeCell ref="N70:Q70"/>
    <mergeCell ref="B73:C73"/>
    <mergeCell ref="B140:C140"/>
    <mergeCell ref="B163:C163"/>
    <mergeCell ref="B144:C144"/>
    <mergeCell ref="D144:I144"/>
    <mergeCell ref="B112:E112"/>
    <mergeCell ref="B115:E115"/>
    <mergeCell ref="H115:I115"/>
    <mergeCell ref="B116:E116"/>
    <mergeCell ref="B121:E121"/>
    <mergeCell ref="B146:J146"/>
    <mergeCell ref="B150:C150"/>
    <mergeCell ref="B149:C149"/>
    <mergeCell ref="D150:J150"/>
    <mergeCell ref="B122:E122"/>
    <mergeCell ref="B147:C147"/>
    <mergeCell ref="P101:Q101"/>
    <mergeCell ref="P98:Q98"/>
    <mergeCell ref="B76:C76"/>
    <mergeCell ref="N76:Q76"/>
    <mergeCell ref="B77:C77"/>
    <mergeCell ref="N77:Q77"/>
    <mergeCell ref="A78:Q78"/>
    <mergeCell ref="B79:C79"/>
    <mergeCell ref="N79:Q79"/>
    <mergeCell ref="P91:Q91"/>
    <mergeCell ref="P92:Q92"/>
    <mergeCell ref="A91:E91"/>
    <mergeCell ref="B92:E92"/>
    <mergeCell ref="H91:I91"/>
    <mergeCell ref="H92:I92"/>
    <mergeCell ref="A84:Q84"/>
    <mergeCell ref="B85:C85"/>
    <mergeCell ref="N85:Q85"/>
    <mergeCell ref="B86:C86"/>
    <mergeCell ref="N86:Q86"/>
    <mergeCell ref="A87:Q87"/>
    <mergeCell ref="B88:C88"/>
    <mergeCell ref="N88:Q88"/>
    <mergeCell ref="B89:C89"/>
    <mergeCell ref="N89:Q89"/>
    <mergeCell ref="B93:E93"/>
    <mergeCell ref="H93:I93"/>
    <mergeCell ref="P93:Q93"/>
    <mergeCell ref="N80:Q80"/>
    <mergeCell ref="B80:C80"/>
    <mergeCell ref="P100:Q100"/>
    <mergeCell ref="P99:Q99"/>
    <mergeCell ref="H95:I95"/>
    <mergeCell ref="B82:C82"/>
    <mergeCell ref="N82:Q82"/>
    <mergeCell ref="B83:C83"/>
    <mergeCell ref="N83:Q83"/>
    <mergeCell ref="A81:Q81"/>
    <mergeCell ref="B94:E94"/>
    <mergeCell ref="H94:I94"/>
    <mergeCell ref="P94:Q94"/>
    <mergeCell ref="B97:E97"/>
    <mergeCell ref="H97:I97"/>
    <mergeCell ref="P97:Q97"/>
    <mergeCell ref="B96:E96"/>
    <mergeCell ref="H96:I96"/>
    <mergeCell ref="P96:Q96"/>
    <mergeCell ref="P95:Q95"/>
    <mergeCell ref="B95:E95"/>
    <mergeCell ref="A75:Q75"/>
    <mergeCell ref="N73:Q73"/>
    <mergeCell ref="B70:C70"/>
    <mergeCell ref="B71:C71"/>
    <mergeCell ref="N71:Q71"/>
    <mergeCell ref="N1:O1"/>
    <mergeCell ref="P1:Q1"/>
    <mergeCell ref="N2:O2"/>
    <mergeCell ref="P2:Q2"/>
    <mergeCell ref="N3:O3"/>
    <mergeCell ref="P3:Q3"/>
    <mergeCell ref="G5:M8"/>
    <mergeCell ref="D11:F11"/>
    <mergeCell ref="B13:F13"/>
    <mergeCell ref="A69:Q69"/>
    <mergeCell ref="N65:Q65"/>
    <mergeCell ref="N67:Q67"/>
    <mergeCell ref="A65:C65"/>
    <mergeCell ref="B67:C67"/>
    <mergeCell ref="B68:C68"/>
    <mergeCell ref="N68:Q68"/>
    <mergeCell ref="A66:Q66"/>
    <mergeCell ref="B74:C74"/>
    <mergeCell ref="N74:Q74"/>
    <mergeCell ref="B167:E167"/>
    <mergeCell ref="B139:I139"/>
    <mergeCell ref="B162:I162"/>
    <mergeCell ref="B155:I155"/>
    <mergeCell ref="B157:C157"/>
    <mergeCell ref="B158:C158"/>
    <mergeCell ref="B159:C159"/>
    <mergeCell ref="B160:C160"/>
    <mergeCell ref="B156:C156"/>
    <mergeCell ref="D156:I156"/>
    <mergeCell ref="D157:I157"/>
    <mergeCell ref="B141:C141"/>
    <mergeCell ref="D141:I141"/>
    <mergeCell ref="D158:I158"/>
    <mergeCell ref="D159:I159"/>
    <mergeCell ref="D160:I160"/>
    <mergeCell ref="B164:C164"/>
    <mergeCell ref="D140:I140"/>
    <mergeCell ref="D149:J149"/>
    <mergeCell ref="B148:C148"/>
    <mergeCell ref="D148:J148"/>
    <mergeCell ref="B143:C143"/>
    <mergeCell ref="D143:I143"/>
    <mergeCell ref="B142:C142"/>
    <mergeCell ref="H101:I101"/>
    <mergeCell ref="B113:E113"/>
    <mergeCell ref="B107:E107"/>
    <mergeCell ref="H107:I107"/>
    <mergeCell ref="B98:E98"/>
    <mergeCell ref="H98:I98"/>
    <mergeCell ref="B104:E104"/>
    <mergeCell ref="H104:I104"/>
    <mergeCell ref="B100:E100"/>
    <mergeCell ref="H100:I100"/>
    <mergeCell ref="B101:E101"/>
    <mergeCell ref="B99:E99"/>
    <mergeCell ref="H99:I99"/>
    <mergeCell ref="B102:E102"/>
    <mergeCell ref="H102:I102"/>
    <mergeCell ref="H103:I103"/>
    <mergeCell ref="B118:E118"/>
    <mergeCell ref="B119:E119"/>
    <mergeCell ref="P115:Q115"/>
    <mergeCell ref="P111:Q111"/>
    <mergeCell ref="P118:Q118"/>
    <mergeCell ref="P102:Q102"/>
    <mergeCell ref="B105:E105"/>
    <mergeCell ref="B106:E106"/>
    <mergeCell ref="H106:I106"/>
    <mergeCell ref="P106:Q106"/>
    <mergeCell ref="B117:E117"/>
    <mergeCell ref="H117:I117"/>
    <mergeCell ref="P117:Q117"/>
    <mergeCell ref="H105:I105"/>
    <mergeCell ref="P105:Q105"/>
    <mergeCell ref="P107:Q107"/>
    <mergeCell ref="H112:I112"/>
    <mergeCell ref="P116:Q116"/>
    <mergeCell ref="H114:I114"/>
    <mergeCell ref="P114:Q114"/>
    <mergeCell ref="H116:I116"/>
    <mergeCell ref="H113:I113"/>
    <mergeCell ref="H111:I111"/>
    <mergeCell ref="B103:E103"/>
    <mergeCell ref="P103:Q103"/>
    <mergeCell ref="B108:E108"/>
    <mergeCell ref="B109:E109"/>
    <mergeCell ref="B114:E114"/>
    <mergeCell ref="P104:Q104"/>
    <mergeCell ref="H109:I109"/>
    <mergeCell ref="P109:Q109"/>
    <mergeCell ref="P113:Q113"/>
    <mergeCell ref="B123:E123"/>
    <mergeCell ref="H123:I123"/>
    <mergeCell ref="P123:Q123"/>
    <mergeCell ref="P122:Q122"/>
    <mergeCell ref="H122:I122"/>
    <mergeCell ref="H118:I118"/>
    <mergeCell ref="H108:I108"/>
    <mergeCell ref="P108:Q108"/>
    <mergeCell ref="H121:I121"/>
    <mergeCell ref="H119:I119"/>
    <mergeCell ref="P119:Q119"/>
    <mergeCell ref="A111:E111"/>
    <mergeCell ref="P121:Q121"/>
    <mergeCell ref="B120:E120"/>
    <mergeCell ref="H120:I120"/>
    <mergeCell ref="P120:Q120"/>
    <mergeCell ref="P112:Q112"/>
    <mergeCell ref="B151:C151"/>
    <mergeCell ref="D151:J151"/>
    <mergeCell ref="B152:C152"/>
    <mergeCell ref="D152:J152"/>
    <mergeCell ref="D142:I142"/>
    <mergeCell ref="P132:Q132"/>
    <mergeCell ref="B130:E130"/>
    <mergeCell ref="H130:I130"/>
    <mergeCell ref="P130:Q130"/>
    <mergeCell ref="B131:E131"/>
    <mergeCell ref="H131:I131"/>
    <mergeCell ref="P131:Q131"/>
    <mergeCell ref="B135:E135"/>
    <mergeCell ref="H135:I135"/>
    <mergeCell ref="P135:Q135"/>
    <mergeCell ref="B134:E134"/>
    <mergeCell ref="H134:I134"/>
    <mergeCell ref="P134:Q134"/>
    <mergeCell ref="H124:I124"/>
    <mergeCell ref="P124:Q124"/>
    <mergeCell ref="P129:Q129"/>
    <mergeCell ref="B132:E132"/>
    <mergeCell ref="H132:I132"/>
    <mergeCell ref="J137:N137"/>
    <mergeCell ref="B133:E133"/>
    <mergeCell ref="B124:E124"/>
    <mergeCell ref="B125:E125"/>
    <mergeCell ref="H125:I125"/>
    <mergeCell ref="H133:I133"/>
    <mergeCell ref="P133:Q133"/>
    <mergeCell ref="B126:E126"/>
    <mergeCell ref="H126:I126"/>
    <mergeCell ref="P126:Q126"/>
    <mergeCell ref="B128:E128"/>
    <mergeCell ref="H128:I128"/>
    <mergeCell ref="P128:Q128"/>
    <mergeCell ref="B129:E129"/>
    <mergeCell ref="P125:Q125"/>
    <mergeCell ref="B127:E127"/>
    <mergeCell ref="H127:I127"/>
    <mergeCell ref="P127:Q127"/>
    <mergeCell ref="H129:I129"/>
  </mergeCells>
  <phoneticPr fontId="70" type="noConversion"/>
  <conditionalFormatting sqref="F92:F94">
    <cfRule type="duplicateValues" dxfId="0" priority="5"/>
  </conditionalFormatting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09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K34"/>
  <sheetViews>
    <sheetView view="pageBreakPreview" zoomScale="30" zoomScaleNormal="40" zoomScaleSheetLayoutView="30" zoomScalePageLayoutView="25" workbookViewId="0">
      <pane ySplit="5" topLeftCell="A7" activePane="bottomLeft" state="frozen"/>
      <selection activeCell="D65" sqref="D65"/>
      <selection pane="bottomLeft" activeCell="B11" sqref="B11"/>
    </sheetView>
  </sheetViews>
  <sheetFormatPr defaultColWidth="9.1796875" defaultRowHeight="32.5"/>
  <cols>
    <col min="1" max="1" width="43.90625" style="127" customWidth="1"/>
    <col min="2" max="2" width="178.08984375" style="113" customWidth="1"/>
    <col min="3" max="3" width="157.453125" style="113" customWidth="1"/>
    <col min="4" max="5" width="46.08984375" style="113" hidden="1" customWidth="1"/>
    <col min="6" max="7" width="9.1796875" style="113"/>
    <col min="8" max="8" width="12.81640625" style="113" bestFit="1" customWidth="1"/>
    <col min="9" max="16384" width="9.1796875" style="113"/>
  </cols>
  <sheetData>
    <row r="1" spans="1:11">
      <c r="A1" s="114"/>
      <c r="B1" s="112"/>
      <c r="C1" s="112"/>
      <c r="D1" s="112"/>
      <c r="E1" s="112"/>
    </row>
    <row r="2" spans="1:11" ht="53.4" customHeight="1">
      <c r="A2" s="114" t="str">
        <f>'1. CUTTING DOCKET'!B6</f>
        <v xml:space="preserve">JOB NUMBER:  </v>
      </c>
      <c r="B2" s="112" t="str">
        <f>'1. CUTTING DOCKET'!D6</f>
        <v>O08  FW24  G2651</v>
      </c>
      <c r="C2" s="112"/>
      <c r="D2" s="112"/>
      <c r="E2" s="112"/>
    </row>
    <row r="3" spans="1:11" ht="53.4" customHeight="1">
      <c r="A3" s="114" t="str">
        <f>'1. CUTTING DOCKET'!B7</f>
        <v xml:space="preserve">STYLE NUMBER: </v>
      </c>
      <c r="B3" s="114" t="str">
        <f>'1. CUTTING DOCKET'!D7</f>
        <v>OVLTS206</v>
      </c>
      <c r="C3" s="114"/>
      <c r="D3" s="114"/>
      <c r="E3" s="114"/>
    </row>
    <row r="4" spans="1:11" ht="53.4" customHeight="1">
      <c r="A4" s="114" t="str">
        <f>'1. CUTTING DOCKET'!B8</f>
        <v xml:space="preserve">STYLE NAME : </v>
      </c>
      <c r="B4" s="114" t="str">
        <f>'1. CUTTING DOCKET'!D8</f>
        <v>SCRIPT LONG SLEEVE T-SHIRT</v>
      </c>
      <c r="C4" s="114"/>
      <c r="D4" s="114"/>
      <c r="E4" s="114"/>
    </row>
    <row r="5" spans="1:11" ht="45" customHeight="1">
      <c r="A5" s="123"/>
      <c r="B5" s="115" t="str">
        <f>'1. CUTTING DOCKET'!$A$66</f>
        <v>BLACK</v>
      </c>
      <c r="C5" s="115" t="str">
        <f>'1. CUTTING DOCKET'!$D$49</f>
        <v>OGRANGE</v>
      </c>
      <c r="D5" s="115" t="str">
        <f>'1. CUTTING DOCKET'!$D$32</f>
        <v>OPEN AIR</v>
      </c>
      <c r="E5" s="115" t="str">
        <f>'1. CUTTING DOCKET'!$D$38</f>
        <v>SAND</v>
      </c>
    </row>
    <row r="6" spans="1:11" ht="44" customHeight="1">
      <c r="A6" s="124" t="s">
        <v>32</v>
      </c>
      <c r="B6" s="116" t="s">
        <v>37</v>
      </c>
      <c r="C6" s="116" t="s">
        <v>308</v>
      </c>
      <c r="D6" s="116" t="str">
        <f t="shared" ref="D6" si="0">D5</f>
        <v>OPEN AIR</v>
      </c>
      <c r="E6" s="116" t="str">
        <f>E5</f>
        <v>SAND</v>
      </c>
    </row>
    <row r="7" spans="1:11" ht="46" customHeight="1">
      <c r="A7" s="125" t="s">
        <v>33</v>
      </c>
      <c r="B7" s="188" t="str">
        <f>'1. CUTTING DOCKET'!L11</f>
        <v>Single jersey 20's 190gsm- SOFT HAND FEEL</v>
      </c>
      <c r="C7" s="189"/>
      <c r="D7" s="189"/>
      <c r="E7" s="190"/>
    </row>
    <row r="8" spans="1:11" ht="298" customHeight="1">
      <c r="A8" s="122" t="str">
        <f>'1. CUTTING DOCKET'!D67</f>
        <v>VẢI CHÍNH</v>
      </c>
      <c r="B8" s="118"/>
      <c r="C8" s="118"/>
      <c r="D8" s="118"/>
      <c r="E8" s="118"/>
      <c r="K8" s="112"/>
    </row>
    <row r="9" spans="1:11" ht="68.5" customHeight="1">
      <c r="A9" s="191" t="str">
        <f>'1. CUTTING DOCKET'!B68</f>
        <v>CM20 1x1Rib 100% Cotton 260gsm</v>
      </c>
      <c r="B9" s="116" t="str">
        <f>B6</f>
        <v>BLACK</v>
      </c>
      <c r="C9" s="116" t="str">
        <f t="shared" ref="C9:D9" si="1">C6</f>
        <v>PFD</v>
      </c>
      <c r="D9" s="116" t="str">
        <f t="shared" si="1"/>
        <v>OPEN AIR</v>
      </c>
      <c r="E9" s="116" t="str">
        <f>E6</f>
        <v>SAND</v>
      </c>
    </row>
    <row r="10" spans="1:11" ht="269" customHeight="1">
      <c r="A10" s="122" t="str">
        <f>'1. CUTTING DOCKET'!D68</f>
        <v>BO CỔ/ BO TAY</v>
      </c>
      <c r="B10" s="247" t="s">
        <v>398</v>
      </c>
      <c r="C10" s="117"/>
      <c r="D10" s="117"/>
      <c r="E10" s="117"/>
      <c r="K10" s="112"/>
    </row>
    <row r="11" spans="1:11">
      <c r="A11" s="124" t="s">
        <v>49</v>
      </c>
      <c r="B11" s="119" t="s">
        <v>37</v>
      </c>
      <c r="C11" s="119" t="str">
        <f t="shared" ref="C11:D11" si="2">C5</f>
        <v>OGRANGE</v>
      </c>
      <c r="D11" s="119" t="str">
        <f t="shared" si="2"/>
        <v>OPEN AIR</v>
      </c>
      <c r="E11" s="119" t="str">
        <f>E5</f>
        <v>SAND</v>
      </c>
    </row>
    <row r="12" spans="1:11" ht="85.5" customHeight="1">
      <c r="A12" s="122" t="str">
        <f>'1. CUTTING DOCKET'!$B$92</f>
        <v>CHỈ TEX 40 MAY CHÍNH + VẮT SỔ</v>
      </c>
      <c r="B12" s="120">
        <f>'1. CUTTING DOCKET'!G92</f>
        <v>1500</v>
      </c>
      <c r="C12" s="120">
        <f>'1. CUTTING DOCKET'!G93</f>
        <v>0</v>
      </c>
      <c r="D12" s="120">
        <f>'1. CUTTING DOCKET'!G94</f>
        <v>0</v>
      </c>
      <c r="E12" s="120" t="e">
        <f>'1. CUTTING DOCKET'!#REF!</f>
        <v>#REF!</v>
      </c>
    </row>
    <row r="13" spans="1:11" ht="73.5" customHeight="1">
      <c r="A13" s="126" t="str">
        <f>'1. CUTTING DOCKET'!$B$95</f>
        <v>NHÃN CHÍNH LT251 KHÔNG SIZE (LBOVO151)</v>
      </c>
      <c r="B13" s="185" t="str">
        <f>'1. CUTTING DOCKET'!F95</f>
        <v>WHITE</v>
      </c>
      <c r="C13" s="186"/>
      <c r="D13" s="186"/>
      <c r="E13" s="187"/>
    </row>
    <row r="14" spans="1:11" ht="268" customHeight="1">
      <c r="A14" s="121" t="s">
        <v>119</v>
      </c>
      <c r="B14" s="149"/>
      <c r="C14" s="149"/>
      <c r="D14" s="149"/>
      <c r="E14" s="149"/>
    </row>
    <row r="15" spans="1:11" ht="72" customHeight="1">
      <c r="A15" s="126" t="str">
        <f>'1. CUTTING DOCKET'!$B$98</f>
        <v>NHÃN SIZE LT246 (OVOW23_181_T)</v>
      </c>
      <c r="B15" s="185" t="str">
        <f>'1. CUTTING DOCKET'!F95</f>
        <v>WHITE</v>
      </c>
      <c r="C15" s="186"/>
      <c r="D15" s="186"/>
      <c r="E15" s="187"/>
    </row>
    <row r="16" spans="1:11" ht="237.5" customHeight="1">
      <c r="A16" s="121" t="s">
        <v>121</v>
      </c>
      <c r="B16" s="150"/>
      <c r="C16" s="150"/>
      <c r="D16" s="150"/>
      <c r="E16" s="150"/>
    </row>
    <row r="17" spans="1:5" ht="70.5" customHeight="1">
      <c r="A17" s="126" t="str">
        <f>'1. CUTTING DOCKET'!B101</f>
        <v>NHÃN XUẤT XỨ (MADE IN VIET NAM)
LT138_TEAR-AWAY COO TAB_OVOF21_217_T</v>
      </c>
      <c r="B17" s="185" t="str">
        <f>'1. CUTTING DOCKET'!F101</f>
        <v>WHITE</v>
      </c>
      <c r="C17" s="186"/>
      <c r="D17" s="186"/>
      <c r="E17" s="187"/>
    </row>
    <row r="18" spans="1:5" ht="237.5" customHeight="1">
      <c r="A18" s="121" t="s">
        <v>120</v>
      </c>
      <c r="B18" s="150"/>
      <c r="C18" s="150"/>
      <c r="D18" s="150"/>
      <c r="E18" s="150"/>
    </row>
    <row r="19" spans="1:5" ht="77" customHeight="1">
      <c r="A19" s="126" t="str">
        <f>'1. CUTTING DOCKET'!$B$104</f>
        <v>NHÃN THÀNH PHẦN 100% COTTON LT110_CC LABEL</v>
      </c>
      <c r="B19" s="185" t="str">
        <f>'1. CUTTING DOCKET'!F107</f>
        <v>WHITE</v>
      </c>
      <c r="C19" s="186"/>
      <c r="D19" s="186"/>
      <c r="E19" s="187"/>
    </row>
    <row r="20" spans="1:5" ht="242" customHeight="1">
      <c r="A20" s="121" t="s">
        <v>113</v>
      </c>
      <c r="B20" s="150"/>
      <c r="C20" s="150"/>
      <c r="D20" s="150"/>
      <c r="E20" s="150"/>
    </row>
    <row r="21" spans="1:5" ht="57" customHeight="1">
      <c r="A21" s="124" t="str">
        <f>'1. CUTTING DOCKET'!$B$107</f>
        <v>TAPE DỆT 5MM</v>
      </c>
      <c r="B21" s="185" t="str">
        <f>'1. CUTTING DOCKET'!$F$107</f>
        <v>WHITE</v>
      </c>
      <c r="C21" s="186"/>
      <c r="D21" s="186"/>
      <c r="E21" s="187"/>
    </row>
    <row r="22" spans="1:5" ht="239" customHeight="1">
      <c r="A22" s="121" t="s">
        <v>122</v>
      </c>
      <c r="B22" s="150"/>
      <c r="C22" s="150"/>
      <c r="D22" s="150"/>
      <c r="E22" s="150"/>
    </row>
    <row r="23" spans="1:5" ht="70.5" customHeight="1">
      <c r="A23" s="126" t="str">
        <f>'[2]1. CUTTING DOCKET'!B74</f>
        <v>STICKER OVO (ST101_UPC BARCODE STICKER)</v>
      </c>
      <c r="B23" s="185" t="str">
        <f>'[2]1. CUTTING DOCKET'!F74</f>
        <v>WHITE</v>
      </c>
      <c r="C23" s="186"/>
      <c r="D23" s="186"/>
      <c r="E23" s="187"/>
    </row>
    <row r="24" spans="1:5" ht="409.6" customHeight="1">
      <c r="A24" s="121" t="s">
        <v>156</v>
      </c>
      <c r="B24" s="193" t="s">
        <v>89</v>
      </c>
      <c r="C24" s="194"/>
      <c r="D24" s="194"/>
      <c r="E24" s="195"/>
    </row>
    <row r="25" spans="1:5" ht="72" customHeight="1">
      <c r="A25" s="126" t="str">
        <f>'[2]1. CUTTING DOCKET'!B76</f>
        <v>THẺ BÀI Booklet OVO MÀU ĐEN (HTOVO141A)</v>
      </c>
      <c r="B25" s="185" t="str">
        <f>'[2]1. CUTTING DOCKET'!F76</f>
        <v>WHITE</v>
      </c>
      <c r="C25" s="186"/>
      <c r="D25" s="186"/>
      <c r="E25" s="187"/>
    </row>
    <row r="26" spans="1:5" ht="265" customHeight="1">
      <c r="A26" s="121" t="s">
        <v>157</v>
      </c>
      <c r="B26" s="311"/>
      <c r="C26" s="312"/>
      <c r="D26" s="312"/>
      <c r="E26" s="313"/>
    </row>
    <row r="27" spans="1:5" ht="65">
      <c r="A27" s="124" t="str">
        <f>'[2]1. CUTTING DOCKET'!B78</f>
        <v>GIẤY CHỐNG ẨM A4 (TISSUE PAPER)</v>
      </c>
      <c r="B27" s="185" t="str">
        <f>'[2]1. CUTTING DOCKET'!F78</f>
        <v>WHITE</v>
      </c>
      <c r="C27" s="186"/>
      <c r="D27" s="186"/>
      <c r="E27" s="187"/>
    </row>
    <row r="28" spans="1:5" ht="168" customHeight="1">
      <c r="A28" s="121" t="s">
        <v>90</v>
      </c>
      <c r="B28" s="311"/>
      <c r="C28" s="312"/>
      <c r="D28" s="312"/>
      <c r="E28" s="313"/>
    </row>
    <row r="29" spans="1:5" ht="65">
      <c r="A29" s="124" t="str">
        <f>'[2]1. CUTTING DOCKET'!B80</f>
        <v>GÓI CHỐNG ẨM (SILICAGEL)</v>
      </c>
      <c r="B29" s="185" t="s">
        <v>36</v>
      </c>
      <c r="C29" s="186"/>
      <c r="D29" s="186"/>
      <c r="E29" s="187"/>
    </row>
    <row r="30" spans="1:5" ht="106.5" customHeight="1">
      <c r="A30" s="121" t="s">
        <v>114</v>
      </c>
      <c r="B30" s="311"/>
      <c r="C30" s="312"/>
      <c r="D30" s="312"/>
      <c r="E30" s="313"/>
    </row>
    <row r="31" spans="1:5" ht="97.5">
      <c r="A31" s="124" t="str">
        <f>'[2]1. CUTTING DOCKET'!B82</f>
        <v>BAO NYLON 40X51CM (PK101 POLY BAG)</v>
      </c>
      <c r="B31" s="185" t="str">
        <f>'[2]1. CUTTING DOCKET'!F82</f>
        <v>CLEAR</v>
      </c>
      <c r="C31" s="186"/>
      <c r="D31" s="186"/>
      <c r="E31" s="187"/>
    </row>
    <row r="32" spans="1:5" ht="195">
      <c r="A32" s="121" t="s">
        <v>91</v>
      </c>
      <c r="B32" s="311"/>
      <c r="C32" s="312"/>
      <c r="D32" s="312"/>
      <c r="E32" s="313"/>
    </row>
    <row r="33" spans="1:5" ht="138.5" customHeight="1">
      <c r="A33" s="124" t="s">
        <v>115</v>
      </c>
      <c r="B33" s="185" t="str">
        <f>'[2]1. CUTTING DOCKET'!F86</f>
        <v>NATURAL</v>
      </c>
      <c r="C33" s="186"/>
      <c r="D33" s="186"/>
      <c r="E33" s="187"/>
    </row>
    <row r="34" spans="1:5" ht="140" customHeight="1">
      <c r="A34" s="121" t="s">
        <v>116</v>
      </c>
      <c r="B34" s="311"/>
      <c r="C34" s="312"/>
      <c r="D34" s="312"/>
      <c r="E34" s="313"/>
    </row>
  </sheetData>
  <mergeCells count="5">
    <mergeCell ref="B34:E34"/>
    <mergeCell ref="B28:E28"/>
    <mergeCell ref="B30:E30"/>
    <mergeCell ref="B32:E32"/>
    <mergeCell ref="B26:E26"/>
  </mergeCells>
  <printOptions horizontalCentered="1"/>
  <pageMargins left="0.25" right="0" top="0.60416666666666696" bottom="0.75" header="0" footer="0"/>
  <pageSetup paperSize="9" scale="44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1" man="1"/>
    <brk id="22" max="1" man="1"/>
    <brk id="28" max="1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9457B-3A4E-4BDF-808D-5358814D338F}">
  <sheetPr codeName="Sheet3"/>
  <dimension ref="A1:P38"/>
  <sheetViews>
    <sheetView view="pageBreakPreview" zoomScale="80" zoomScaleNormal="70" zoomScaleSheetLayoutView="80" workbookViewId="0">
      <selection activeCell="S8" sqref="S8"/>
    </sheetView>
  </sheetViews>
  <sheetFormatPr defaultColWidth="8.90625" defaultRowHeight="14.5"/>
  <cols>
    <col min="1" max="14" width="8.90625" style="176"/>
    <col min="15" max="15" width="6.81640625" style="176" customWidth="1"/>
    <col min="16" max="16" width="14.54296875" style="176" customWidth="1"/>
    <col min="17" max="16384" width="8.90625" style="176"/>
  </cols>
  <sheetData>
    <row r="1" spans="1:16">
      <c r="A1" s="173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5"/>
    </row>
    <row r="2" spans="1:16">
      <c r="A2" s="177"/>
      <c r="P2" s="178"/>
    </row>
    <row r="3" spans="1:16">
      <c r="A3" s="177"/>
      <c r="P3" s="178"/>
    </row>
    <row r="4" spans="1:16">
      <c r="A4" s="177"/>
      <c r="P4" s="178"/>
    </row>
    <row r="5" spans="1:16">
      <c r="A5" s="177"/>
      <c r="P5" s="178"/>
    </row>
    <row r="6" spans="1:16">
      <c r="A6" s="177"/>
      <c r="P6" s="178"/>
    </row>
    <row r="7" spans="1:16">
      <c r="A7" s="177"/>
      <c r="P7" s="178"/>
    </row>
    <row r="8" spans="1:16">
      <c r="A8" s="177"/>
      <c r="P8" s="178"/>
    </row>
    <row r="9" spans="1:16">
      <c r="A9" s="177"/>
      <c r="P9" s="178"/>
    </row>
    <row r="10" spans="1:16">
      <c r="A10" s="177"/>
      <c r="P10" s="178"/>
    </row>
    <row r="11" spans="1:16">
      <c r="A11" s="177"/>
      <c r="P11" s="178"/>
    </row>
    <row r="12" spans="1:16">
      <c r="A12" s="177"/>
      <c r="P12" s="178"/>
    </row>
    <row r="13" spans="1:16">
      <c r="A13" s="177"/>
      <c r="P13" s="178"/>
    </row>
    <row r="14" spans="1:16">
      <c r="A14" s="177"/>
      <c r="P14" s="178"/>
    </row>
    <row r="15" spans="1:16">
      <c r="A15" s="177"/>
      <c r="P15" s="178"/>
    </row>
    <row r="16" spans="1:16">
      <c r="A16" s="177"/>
      <c r="P16" s="178"/>
    </row>
    <row r="17" spans="1:16">
      <c r="A17" s="177"/>
      <c r="P17" s="178"/>
    </row>
    <row r="18" spans="1:16" ht="15.5">
      <c r="A18" s="177"/>
      <c r="O18" s="183"/>
      <c r="P18" s="182"/>
    </row>
    <row r="19" spans="1:16" ht="15.5">
      <c r="A19" s="177"/>
      <c r="O19" s="183"/>
      <c r="P19" s="182"/>
    </row>
    <row r="20" spans="1:16" ht="15.5">
      <c r="A20" s="177"/>
      <c r="O20" s="183"/>
      <c r="P20" s="182"/>
    </row>
    <row r="21" spans="1:16" ht="15.5">
      <c r="A21" s="177"/>
      <c r="O21" s="183"/>
      <c r="P21" s="182"/>
    </row>
    <row r="22" spans="1:16">
      <c r="A22" s="177"/>
      <c r="P22" s="178"/>
    </row>
    <row r="23" spans="1:16">
      <c r="A23" s="177"/>
      <c r="P23" s="178"/>
    </row>
    <row r="24" spans="1:16">
      <c r="A24" s="177"/>
      <c r="P24" s="178"/>
    </row>
    <row r="25" spans="1:16">
      <c r="A25" s="177"/>
      <c r="P25" s="178"/>
    </row>
    <row r="26" spans="1:16">
      <c r="A26" s="177"/>
      <c r="P26" s="178"/>
    </row>
    <row r="27" spans="1:16">
      <c r="A27" s="177"/>
      <c r="P27" s="178"/>
    </row>
    <row r="28" spans="1:16">
      <c r="A28" s="177"/>
      <c r="P28" s="178"/>
    </row>
    <row r="29" spans="1:16">
      <c r="A29" s="177"/>
      <c r="P29" s="178"/>
    </row>
    <row r="30" spans="1:16">
      <c r="A30" s="177"/>
      <c r="P30" s="178"/>
    </row>
    <row r="31" spans="1:16">
      <c r="A31" s="177"/>
      <c r="P31" s="178"/>
    </row>
    <row r="32" spans="1:16">
      <c r="A32" s="177"/>
      <c r="P32" s="178"/>
    </row>
    <row r="33" spans="1:16">
      <c r="A33" s="177"/>
      <c r="P33" s="178"/>
    </row>
    <row r="34" spans="1:16">
      <c r="A34" s="177"/>
      <c r="P34" s="178"/>
    </row>
    <row r="35" spans="1:16">
      <c r="A35" s="177"/>
      <c r="P35" s="178"/>
    </row>
    <row r="36" spans="1:16">
      <c r="A36" s="177"/>
      <c r="P36" s="178"/>
    </row>
    <row r="37" spans="1:16">
      <c r="A37" s="177"/>
      <c r="P37" s="178"/>
    </row>
    <row r="38" spans="1:16" ht="15" thickBot="1">
      <c r="A38" s="179"/>
      <c r="B38" s="180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1"/>
    </row>
  </sheetData>
  <printOptions horizontalCentered="1"/>
  <pageMargins left="0.2" right="0" top="0.2" bottom="0" header="0.3" footer="0.3"/>
  <pageSetup paperSize="9" scale="98" orientation="landscape" verticalDpi="0" r:id="rId1"/>
  <rowBreaks count="1" manualBreakCount="1">
    <brk id="38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F610F-CD09-4769-AC9B-8A8CB1CB6DD5}">
  <sheetPr>
    <pageSetUpPr fitToPage="1"/>
  </sheetPr>
  <dimension ref="A1:S29"/>
  <sheetViews>
    <sheetView view="pageBreakPreview" zoomScale="70" zoomScaleNormal="80" zoomScaleSheetLayoutView="70" workbookViewId="0">
      <selection activeCell="U11" sqref="U11"/>
    </sheetView>
  </sheetViews>
  <sheetFormatPr defaultRowHeight="14.5"/>
  <cols>
    <col min="3" max="3" width="9.90625" customWidth="1"/>
    <col min="5" max="5" width="29.08984375" customWidth="1"/>
  </cols>
  <sheetData>
    <row r="1" spans="1:19" s="209" customFormat="1" ht="12" customHeight="1">
      <c r="A1" s="337"/>
      <c r="B1" s="338"/>
      <c r="C1" s="339" t="s">
        <v>275</v>
      </c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1" t="s">
        <v>162</v>
      </c>
      <c r="Q1" s="342"/>
      <c r="R1" s="342"/>
      <c r="S1" s="342"/>
    </row>
    <row r="2" spans="1:19" s="209" customFormat="1" ht="12" customHeight="1">
      <c r="A2" s="343"/>
      <c r="B2" s="344"/>
      <c r="C2" s="210" t="s">
        <v>163</v>
      </c>
      <c r="D2" s="323" t="s">
        <v>305</v>
      </c>
      <c r="E2" s="324"/>
      <c r="F2" s="324"/>
      <c r="G2" s="325"/>
      <c r="H2" s="330"/>
      <c r="I2" s="349"/>
      <c r="J2" s="330"/>
      <c r="K2" s="331"/>
      <c r="L2" s="331"/>
      <c r="M2" s="331"/>
      <c r="N2" s="331"/>
      <c r="O2" s="331"/>
      <c r="P2" s="321" t="s">
        <v>164</v>
      </c>
      <c r="Q2" s="322"/>
      <c r="R2" s="323" t="s">
        <v>165</v>
      </c>
      <c r="S2" s="324"/>
    </row>
    <row r="3" spans="1:19" s="209" customFormat="1" ht="12" customHeight="1">
      <c r="A3" s="345"/>
      <c r="B3" s="346"/>
      <c r="C3" s="210" t="s">
        <v>166</v>
      </c>
      <c r="D3" s="323" t="s">
        <v>353</v>
      </c>
      <c r="E3" s="324"/>
      <c r="F3" s="324"/>
      <c r="G3" s="325"/>
      <c r="H3" s="332"/>
      <c r="I3" s="350"/>
      <c r="J3" s="332"/>
      <c r="K3" s="333"/>
      <c r="L3" s="333"/>
      <c r="M3" s="333"/>
      <c r="N3" s="333"/>
      <c r="O3" s="333"/>
      <c r="P3" s="321" t="s">
        <v>167</v>
      </c>
      <c r="Q3" s="322"/>
      <c r="R3" s="323" t="s">
        <v>168</v>
      </c>
      <c r="S3" s="324"/>
    </row>
    <row r="4" spans="1:19" s="209" customFormat="1" ht="12" customHeight="1">
      <c r="A4" s="345"/>
      <c r="B4" s="346"/>
      <c r="C4" s="210" t="s">
        <v>169</v>
      </c>
      <c r="D4" s="323" t="s">
        <v>354</v>
      </c>
      <c r="E4" s="324"/>
      <c r="F4" s="324"/>
      <c r="G4" s="325"/>
      <c r="H4" s="326" t="s">
        <v>355</v>
      </c>
      <c r="I4" s="327"/>
      <c r="J4" s="330" t="s">
        <v>359</v>
      </c>
      <c r="K4" s="331"/>
      <c r="L4" s="331"/>
      <c r="M4" s="331"/>
      <c r="N4" s="331"/>
      <c r="O4" s="331"/>
      <c r="P4" s="321" t="s">
        <v>95</v>
      </c>
      <c r="Q4" s="322"/>
      <c r="R4" s="351" t="s">
        <v>356</v>
      </c>
      <c r="S4" s="342"/>
    </row>
    <row r="5" spans="1:19" s="209" customFormat="1" ht="30.5" customHeight="1">
      <c r="A5" s="347"/>
      <c r="B5" s="348"/>
      <c r="C5" s="210" t="s">
        <v>170</v>
      </c>
      <c r="D5" s="323" t="s">
        <v>357</v>
      </c>
      <c r="E5" s="324"/>
      <c r="F5" s="324"/>
      <c r="G5" s="325"/>
      <c r="H5" s="328"/>
      <c r="I5" s="329"/>
      <c r="J5" s="332"/>
      <c r="K5" s="333"/>
      <c r="L5" s="333"/>
      <c r="M5" s="333"/>
      <c r="N5" s="333"/>
      <c r="O5" s="333"/>
      <c r="P5" s="321" t="s">
        <v>171</v>
      </c>
      <c r="Q5" s="322"/>
      <c r="R5" s="323" t="s">
        <v>358</v>
      </c>
      <c r="S5" s="324"/>
    </row>
    <row r="6" spans="1:19" s="208" customFormat="1" ht="20" customHeight="1">
      <c r="A6" s="211" t="s">
        <v>172</v>
      </c>
      <c r="B6" s="334" t="s">
        <v>173</v>
      </c>
      <c r="C6" s="335"/>
      <c r="D6" s="336"/>
      <c r="E6" s="207"/>
      <c r="F6" s="212" t="s">
        <v>174</v>
      </c>
      <c r="G6" s="211" t="s">
        <v>175</v>
      </c>
      <c r="H6" s="213" t="s">
        <v>176</v>
      </c>
      <c r="I6" s="212" t="s">
        <v>96</v>
      </c>
      <c r="J6" s="213" t="s">
        <v>85</v>
      </c>
      <c r="K6" s="214" t="s">
        <v>56</v>
      </c>
      <c r="L6" s="215" t="s">
        <v>360</v>
      </c>
      <c r="M6" s="214" t="s">
        <v>53</v>
      </c>
      <c r="N6" s="214" t="s">
        <v>54</v>
      </c>
      <c r="O6" s="212" t="s">
        <v>55</v>
      </c>
      <c r="P6" s="213" t="s">
        <v>97</v>
      </c>
      <c r="Q6" s="216"/>
      <c r="R6" s="217"/>
      <c r="S6" s="217"/>
    </row>
    <row r="7" spans="1:19" s="204" customFormat="1" ht="19" customHeight="1">
      <c r="A7" s="206" t="s">
        <v>330</v>
      </c>
      <c r="B7" s="318" t="s">
        <v>177</v>
      </c>
      <c r="C7" s="319"/>
      <c r="D7" s="320"/>
      <c r="E7" s="218" t="s">
        <v>123</v>
      </c>
      <c r="F7" s="219" t="s">
        <v>145</v>
      </c>
      <c r="G7" s="220" t="s">
        <v>145</v>
      </c>
      <c r="H7" s="219" t="s">
        <v>178</v>
      </c>
      <c r="I7" s="219" t="s">
        <v>179</v>
      </c>
      <c r="J7" s="219" t="s">
        <v>180</v>
      </c>
      <c r="K7" s="219" t="s">
        <v>181</v>
      </c>
      <c r="L7" s="221" t="s">
        <v>142</v>
      </c>
      <c r="M7" s="219" t="s">
        <v>182</v>
      </c>
      <c r="N7" s="219" t="s">
        <v>183</v>
      </c>
      <c r="O7" s="219" t="s">
        <v>184</v>
      </c>
      <c r="P7" s="219" t="s">
        <v>185</v>
      </c>
      <c r="Q7" s="203"/>
      <c r="R7" s="205"/>
      <c r="S7" s="205"/>
    </row>
    <row r="8" spans="1:19" s="204" customFormat="1" ht="24" customHeight="1">
      <c r="A8" s="206" t="s">
        <v>331</v>
      </c>
      <c r="B8" s="318" t="s">
        <v>186</v>
      </c>
      <c r="C8" s="319"/>
      <c r="D8" s="320"/>
      <c r="E8" s="218" t="s">
        <v>124</v>
      </c>
      <c r="F8" s="219" t="s">
        <v>187</v>
      </c>
      <c r="G8" s="220" t="s">
        <v>187</v>
      </c>
      <c r="H8" s="219" t="s">
        <v>178</v>
      </c>
      <c r="I8" s="219" t="s">
        <v>188</v>
      </c>
      <c r="J8" s="219" t="s">
        <v>188</v>
      </c>
      <c r="K8" s="219" t="s">
        <v>189</v>
      </c>
      <c r="L8" s="222">
        <v>7</v>
      </c>
      <c r="M8" s="219" t="s">
        <v>190</v>
      </c>
      <c r="N8" s="219" t="s">
        <v>191</v>
      </c>
      <c r="O8" s="219" t="s">
        <v>192</v>
      </c>
      <c r="P8" s="223">
        <v>8</v>
      </c>
      <c r="Q8" s="203"/>
      <c r="R8" s="205"/>
      <c r="S8" s="205"/>
    </row>
    <row r="9" spans="1:19" s="204" customFormat="1" ht="19" customHeight="1">
      <c r="A9" s="206" t="s">
        <v>332</v>
      </c>
      <c r="B9" s="318" t="s">
        <v>193</v>
      </c>
      <c r="C9" s="319"/>
      <c r="D9" s="320"/>
      <c r="E9" s="218" t="s">
        <v>125</v>
      </c>
      <c r="F9" s="219" t="s">
        <v>194</v>
      </c>
      <c r="G9" s="220" t="s">
        <v>194</v>
      </c>
      <c r="H9" s="219" t="s">
        <v>178</v>
      </c>
      <c r="I9" s="219" t="s">
        <v>195</v>
      </c>
      <c r="J9" s="219" t="s">
        <v>195</v>
      </c>
      <c r="K9" s="219" t="s">
        <v>196</v>
      </c>
      <c r="L9" s="221" t="s">
        <v>143</v>
      </c>
      <c r="M9" s="219" t="s">
        <v>197</v>
      </c>
      <c r="N9" s="219" t="s">
        <v>198</v>
      </c>
      <c r="O9" s="219" t="s">
        <v>199</v>
      </c>
      <c r="P9" s="219" t="s">
        <v>200</v>
      </c>
      <c r="Q9" s="203"/>
      <c r="R9" s="205"/>
      <c r="S9" s="205"/>
    </row>
    <row r="10" spans="1:19" s="204" customFormat="1" ht="19" customHeight="1">
      <c r="A10" s="206" t="s">
        <v>333</v>
      </c>
      <c r="B10" s="318" t="s">
        <v>201</v>
      </c>
      <c r="C10" s="319"/>
      <c r="D10" s="320"/>
      <c r="E10" s="218" t="s">
        <v>126</v>
      </c>
      <c r="F10" s="219" t="s">
        <v>194</v>
      </c>
      <c r="G10" s="220" t="s">
        <v>194</v>
      </c>
      <c r="H10" s="219" t="s">
        <v>178</v>
      </c>
      <c r="I10" s="219" t="s">
        <v>202</v>
      </c>
      <c r="J10" s="219" t="s">
        <v>202</v>
      </c>
      <c r="K10" s="219" t="s">
        <v>203</v>
      </c>
      <c r="L10" s="221">
        <v>1</v>
      </c>
      <c r="M10" s="219" t="s">
        <v>204</v>
      </c>
      <c r="N10" s="219" t="s">
        <v>205</v>
      </c>
      <c r="O10" s="219" t="s">
        <v>206</v>
      </c>
      <c r="P10" s="219" t="s">
        <v>207</v>
      </c>
      <c r="Q10" s="203"/>
      <c r="R10" s="205"/>
      <c r="S10" s="205"/>
    </row>
    <row r="11" spans="1:19" s="204" customFormat="1" ht="19" customHeight="1">
      <c r="A11" s="206" t="s">
        <v>334</v>
      </c>
      <c r="B11" s="318" t="s">
        <v>208</v>
      </c>
      <c r="C11" s="319"/>
      <c r="D11" s="320"/>
      <c r="E11" s="218" t="s">
        <v>127</v>
      </c>
      <c r="F11" s="219" t="s">
        <v>194</v>
      </c>
      <c r="G11" s="220" t="s">
        <v>194</v>
      </c>
      <c r="H11" s="219" t="s">
        <v>178</v>
      </c>
      <c r="I11" s="219" t="s">
        <v>144</v>
      </c>
      <c r="J11" s="219" t="s">
        <v>144</v>
      </c>
      <c r="K11" s="219" t="s">
        <v>144</v>
      </c>
      <c r="L11" s="221" t="s">
        <v>144</v>
      </c>
      <c r="M11" s="219" t="s">
        <v>144</v>
      </c>
      <c r="N11" s="219" t="s">
        <v>144</v>
      </c>
      <c r="O11" s="219" t="s">
        <v>144</v>
      </c>
      <c r="P11" s="219" t="s">
        <v>144</v>
      </c>
      <c r="Q11" s="203"/>
      <c r="R11" s="205"/>
      <c r="S11" s="205"/>
    </row>
    <row r="12" spans="1:19" s="204" customFormat="1" ht="19" customHeight="1">
      <c r="A12" s="206" t="s">
        <v>335</v>
      </c>
      <c r="B12" s="318" t="s">
        <v>209</v>
      </c>
      <c r="C12" s="319"/>
      <c r="D12" s="320"/>
      <c r="E12" s="218" t="s">
        <v>128</v>
      </c>
      <c r="F12" s="219" t="s">
        <v>187</v>
      </c>
      <c r="G12" s="220" t="s">
        <v>187</v>
      </c>
      <c r="H12" s="219" t="s">
        <v>178</v>
      </c>
      <c r="I12" s="219" t="s">
        <v>210</v>
      </c>
      <c r="J12" s="219" t="s">
        <v>211</v>
      </c>
      <c r="K12" s="219">
        <v>2</v>
      </c>
      <c r="L12" s="221">
        <v>2</v>
      </c>
      <c r="M12" s="219">
        <v>2</v>
      </c>
      <c r="N12" s="219" t="s">
        <v>212</v>
      </c>
      <c r="O12" s="219" t="s">
        <v>213</v>
      </c>
      <c r="P12" s="219" t="s">
        <v>214</v>
      </c>
      <c r="Q12" s="203"/>
      <c r="R12" s="205"/>
      <c r="S12" s="205"/>
    </row>
    <row r="13" spans="1:19" s="204" customFormat="1" ht="19" customHeight="1">
      <c r="A13" s="206" t="s">
        <v>336</v>
      </c>
      <c r="B13" s="318" t="s">
        <v>215</v>
      </c>
      <c r="C13" s="319"/>
      <c r="D13" s="320"/>
      <c r="E13" s="218" t="s">
        <v>129</v>
      </c>
      <c r="F13" s="219" t="s">
        <v>194</v>
      </c>
      <c r="G13" s="220" t="s">
        <v>194</v>
      </c>
      <c r="H13" s="219" t="s">
        <v>178</v>
      </c>
      <c r="I13" s="219" t="s">
        <v>145</v>
      </c>
      <c r="J13" s="219" t="s">
        <v>145</v>
      </c>
      <c r="K13" s="219" t="s">
        <v>145</v>
      </c>
      <c r="L13" s="221" t="s">
        <v>145</v>
      </c>
      <c r="M13" s="219" t="s">
        <v>145</v>
      </c>
      <c r="N13" s="219" t="s">
        <v>145</v>
      </c>
      <c r="O13" s="219" t="s">
        <v>145</v>
      </c>
      <c r="P13" s="219" t="s">
        <v>145</v>
      </c>
      <c r="Q13" s="203"/>
      <c r="R13" s="205"/>
      <c r="S13" s="205"/>
    </row>
    <row r="14" spans="1:19" s="204" customFormat="1" ht="19" customHeight="1">
      <c r="A14" s="206" t="s">
        <v>337</v>
      </c>
      <c r="B14" s="318" t="s">
        <v>216</v>
      </c>
      <c r="C14" s="319"/>
      <c r="D14" s="320"/>
      <c r="E14" s="218" t="s">
        <v>130</v>
      </c>
      <c r="F14" s="219" t="s">
        <v>153</v>
      </c>
      <c r="G14" s="220" t="s">
        <v>153</v>
      </c>
      <c r="H14" s="219" t="s">
        <v>178</v>
      </c>
      <c r="I14" s="219" t="s">
        <v>217</v>
      </c>
      <c r="J14" s="219" t="s">
        <v>218</v>
      </c>
      <c r="K14" s="219" t="s">
        <v>152</v>
      </c>
      <c r="L14" s="221" t="s">
        <v>146</v>
      </c>
      <c r="M14" s="219" t="s">
        <v>219</v>
      </c>
      <c r="N14" s="219" t="s">
        <v>220</v>
      </c>
      <c r="O14" s="219" t="s">
        <v>221</v>
      </c>
      <c r="P14" s="219" t="s">
        <v>222</v>
      </c>
      <c r="Q14" s="203"/>
      <c r="R14" s="205"/>
      <c r="S14" s="205"/>
    </row>
    <row r="15" spans="1:19" s="204" customFormat="1" ht="19" customHeight="1">
      <c r="A15" s="206" t="s">
        <v>338</v>
      </c>
      <c r="B15" s="318" t="s">
        <v>276</v>
      </c>
      <c r="C15" s="319"/>
      <c r="D15" s="320"/>
      <c r="E15" s="218" t="s">
        <v>131</v>
      </c>
      <c r="F15" s="219" t="s">
        <v>187</v>
      </c>
      <c r="G15" s="220" t="s">
        <v>187</v>
      </c>
      <c r="H15" s="219" t="s">
        <v>178</v>
      </c>
      <c r="I15" s="219" t="s">
        <v>223</v>
      </c>
      <c r="J15" s="219" t="s">
        <v>224</v>
      </c>
      <c r="K15" s="219" t="s">
        <v>225</v>
      </c>
      <c r="L15" s="221" t="s">
        <v>147</v>
      </c>
      <c r="M15" s="219" t="s">
        <v>226</v>
      </c>
      <c r="N15" s="219" t="s">
        <v>146</v>
      </c>
      <c r="O15" s="219" t="s">
        <v>227</v>
      </c>
      <c r="P15" s="219" t="s">
        <v>228</v>
      </c>
      <c r="Q15" s="203"/>
      <c r="R15" s="205"/>
      <c r="S15" s="205"/>
    </row>
    <row r="16" spans="1:19" s="204" customFormat="1" ht="19" customHeight="1">
      <c r="A16" s="206" t="s">
        <v>339</v>
      </c>
      <c r="B16" s="318" t="s">
        <v>229</v>
      </c>
      <c r="C16" s="319"/>
      <c r="D16" s="320"/>
      <c r="E16" s="218" t="s">
        <v>132</v>
      </c>
      <c r="F16" s="219" t="s">
        <v>187</v>
      </c>
      <c r="G16" s="220" t="s">
        <v>187</v>
      </c>
      <c r="H16" s="219" t="s">
        <v>178</v>
      </c>
      <c r="I16" s="219" t="s">
        <v>230</v>
      </c>
      <c r="J16" s="219" t="s">
        <v>231</v>
      </c>
      <c r="K16" s="219" t="s">
        <v>232</v>
      </c>
      <c r="L16" s="221" t="s">
        <v>148</v>
      </c>
      <c r="M16" s="219" t="s">
        <v>233</v>
      </c>
      <c r="N16" s="219" t="s">
        <v>234</v>
      </c>
      <c r="O16" s="219" t="s">
        <v>235</v>
      </c>
      <c r="P16" s="219" t="s">
        <v>150</v>
      </c>
      <c r="Q16" s="203"/>
      <c r="R16" s="205"/>
      <c r="S16" s="205"/>
    </row>
    <row r="17" spans="1:19" s="204" customFormat="1" ht="19" customHeight="1">
      <c r="A17" s="206" t="s">
        <v>340</v>
      </c>
      <c r="B17" s="318" t="s">
        <v>236</v>
      </c>
      <c r="C17" s="319"/>
      <c r="D17" s="320"/>
      <c r="E17" s="218" t="s">
        <v>133</v>
      </c>
      <c r="F17" s="219" t="s">
        <v>145</v>
      </c>
      <c r="G17" s="220" t="s">
        <v>145</v>
      </c>
      <c r="H17" s="219" t="s">
        <v>178</v>
      </c>
      <c r="I17" s="219" t="s">
        <v>237</v>
      </c>
      <c r="J17" s="219" t="s">
        <v>238</v>
      </c>
      <c r="K17" s="219" t="s">
        <v>239</v>
      </c>
      <c r="L17" s="221" t="s">
        <v>149</v>
      </c>
      <c r="M17" s="219" t="s">
        <v>240</v>
      </c>
      <c r="N17" s="219" t="s">
        <v>241</v>
      </c>
      <c r="O17" s="219" t="s">
        <v>242</v>
      </c>
      <c r="P17" s="219" t="s">
        <v>180</v>
      </c>
      <c r="Q17" s="203"/>
      <c r="R17" s="205"/>
      <c r="S17" s="205"/>
    </row>
    <row r="18" spans="1:19" s="204" customFormat="1" ht="30.5" customHeight="1">
      <c r="A18" s="206" t="s">
        <v>341</v>
      </c>
      <c r="B18" s="318" t="s">
        <v>243</v>
      </c>
      <c r="C18" s="319"/>
      <c r="D18" s="320"/>
      <c r="E18" s="218" t="s">
        <v>134</v>
      </c>
      <c r="F18" s="219" t="s">
        <v>145</v>
      </c>
      <c r="G18" s="220" t="s">
        <v>145</v>
      </c>
      <c r="H18" s="219" t="s">
        <v>178</v>
      </c>
      <c r="I18" s="219" t="s">
        <v>233</v>
      </c>
      <c r="J18" s="219" t="s">
        <v>234</v>
      </c>
      <c r="K18" s="219" t="s">
        <v>235</v>
      </c>
      <c r="L18" s="221" t="s">
        <v>150</v>
      </c>
      <c r="M18" s="219" t="s">
        <v>244</v>
      </c>
      <c r="N18" s="219" t="s">
        <v>245</v>
      </c>
      <c r="O18" s="219" t="s">
        <v>246</v>
      </c>
      <c r="P18" s="219" t="s">
        <v>247</v>
      </c>
      <c r="Q18" s="203"/>
      <c r="R18" s="205"/>
      <c r="S18" s="205"/>
    </row>
    <row r="19" spans="1:19" s="204" customFormat="1" ht="19" customHeight="1">
      <c r="A19" s="206" t="s">
        <v>342</v>
      </c>
      <c r="B19" s="318" t="s">
        <v>248</v>
      </c>
      <c r="C19" s="319"/>
      <c r="D19" s="320"/>
      <c r="E19" s="218" t="s">
        <v>135</v>
      </c>
      <c r="F19" s="219" t="s">
        <v>187</v>
      </c>
      <c r="G19" s="220" t="s">
        <v>187</v>
      </c>
      <c r="H19" s="219" t="s">
        <v>178</v>
      </c>
      <c r="I19" s="219" t="s">
        <v>249</v>
      </c>
      <c r="J19" s="219" t="s">
        <v>250</v>
      </c>
      <c r="K19" s="219" t="s">
        <v>251</v>
      </c>
      <c r="L19" s="221" t="s">
        <v>151</v>
      </c>
      <c r="M19" s="219" t="s">
        <v>252</v>
      </c>
      <c r="N19" s="219" t="s">
        <v>253</v>
      </c>
      <c r="O19" s="219">
        <v>11</v>
      </c>
      <c r="P19" s="219" t="s">
        <v>254</v>
      </c>
      <c r="Q19" s="203"/>
      <c r="R19" s="205"/>
      <c r="S19" s="205"/>
    </row>
    <row r="20" spans="1:19" s="204" customFormat="1" ht="19" customHeight="1">
      <c r="A20" s="206" t="s">
        <v>343</v>
      </c>
      <c r="B20" s="318" t="s">
        <v>277</v>
      </c>
      <c r="C20" s="319"/>
      <c r="D20" s="320"/>
      <c r="E20" s="218" t="s">
        <v>361</v>
      </c>
      <c r="F20" s="219" t="s">
        <v>194</v>
      </c>
      <c r="G20" s="220" t="s">
        <v>194</v>
      </c>
      <c r="H20" s="219" t="s">
        <v>178</v>
      </c>
      <c r="I20" s="219" t="s">
        <v>191</v>
      </c>
      <c r="J20" s="219" t="s">
        <v>192</v>
      </c>
      <c r="K20" s="219">
        <v>8</v>
      </c>
      <c r="L20" s="221" t="s">
        <v>278</v>
      </c>
      <c r="M20" s="219" t="s">
        <v>249</v>
      </c>
      <c r="N20" s="219" t="s">
        <v>255</v>
      </c>
      <c r="O20" s="219" t="s">
        <v>279</v>
      </c>
      <c r="P20" s="219" t="s">
        <v>280</v>
      </c>
      <c r="Q20" s="203"/>
      <c r="R20" s="205"/>
      <c r="S20" s="205"/>
    </row>
    <row r="21" spans="1:19" s="204" customFormat="1" ht="31" customHeight="1">
      <c r="A21" s="206" t="s">
        <v>344</v>
      </c>
      <c r="B21" s="318" t="s">
        <v>281</v>
      </c>
      <c r="C21" s="319"/>
      <c r="D21" s="320"/>
      <c r="E21" s="218" t="s">
        <v>136</v>
      </c>
      <c r="F21" s="219" t="s">
        <v>145</v>
      </c>
      <c r="G21" s="220" t="s">
        <v>145</v>
      </c>
      <c r="H21" s="219" t="s">
        <v>178</v>
      </c>
      <c r="I21" s="219" t="s">
        <v>282</v>
      </c>
      <c r="J21" s="219" t="s">
        <v>283</v>
      </c>
      <c r="K21" s="219" t="s">
        <v>284</v>
      </c>
      <c r="L21" s="221" t="s">
        <v>285</v>
      </c>
      <c r="M21" s="219" t="s">
        <v>286</v>
      </c>
      <c r="N21" s="219" t="s">
        <v>287</v>
      </c>
      <c r="O21" s="219" t="s">
        <v>288</v>
      </c>
      <c r="P21" s="219" t="s">
        <v>289</v>
      </c>
      <c r="Q21" s="203"/>
      <c r="R21" s="205"/>
      <c r="S21" s="205"/>
    </row>
    <row r="22" spans="1:19" s="204" customFormat="1" ht="21.5" customHeight="1">
      <c r="A22" s="206" t="s">
        <v>345</v>
      </c>
      <c r="B22" s="318" t="s">
        <v>290</v>
      </c>
      <c r="C22" s="319"/>
      <c r="D22" s="320"/>
      <c r="E22" s="218" t="s">
        <v>362</v>
      </c>
      <c r="F22" s="219" t="s">
        <v>194</v>
      </c>
      <c r="G22" s="220" t="s">
        <v>194</v>
      </c>
      <c r="H22" s="219" t="s">
        <v>178</v>
      </c>
      <c r="I22" s="219" t="s">
        <v>196</v>
      </c>
      <c r="J22" s="219" t="s">
        <v>291</v>
      </c>
      <c r="K22" s="219" t="s">
        <v>199</v>
      </c>
      <c r="L22" s="221" t="s">
        <v>292</v>
      </c>
      <c r="M22" s="219" t="s">
        <v>293</v>
      </c>
      <c r="N22" s="219" t="s">
        <v>294</v>
      </c>
      <c r="O22" s="219" t="s">
        <v>295</v>
      </c>
      <c r="P22" s="219" t="s">
        <v>296</v>
      </c>
      <c r="Q22" s="203"/>
      <c r="R22" s="205"/>
      <c r="S22" s="205"/>
    </row>
    <row r="23" spans="1:19" s="204" customFormat="1" ht="28" customHeight="1">
      <c r="A23" s="206" t="s">
        <v>346</v>
      </c>
      <c r="B23" s="318" t="s">
        <v>297</v>
      </c>
      <c r="C23" s="319"/>
      <c r="D23" s="320"/>
      <c r="E23" s="218" t="s">
        <v>137</v>
      </c>
      <c r="F23" s="219" t="s">
        <v>194</v>
      </c>
      <c r="G23" s="220" t="s">
        <v>194</v>
      </c>
      <c r="H23" s="219" t="s">
        <v>178</v>
      </c>
      <c r="I23" s="219" t="s">
        <v>298</v>
      </c>
      <c r="J23" s="219" t="s">
        <v>299</v>
      </c>
      <c r="K23" s="219" t="s">
        <v>300</v>
      </c>
      <c r="L23" s="221" t="s">
        <v>301</v>
      </c>
      <c r="M23" s="219" t="s">
        <v>302</v>
      </c>
      <c r="N23" s="219" t="s">
        <v>196</v>
      </c>
      <c r="O23" s="219" t="s">
        <v>198</v>
      </c>
      <c r="P23" s="219" t="s">
        <v>200</v>
      </c>
      <c r="Q23" s="203"/>
      <c r="R23" s="205"/>
      <c r="S23" s="205"/>
    </row>
    <row r="24" spans="1:19" s="204" customFormat="1" ht="19" customHeight="1">
      <c r="A24" s="206" t="s">
        <v>347</v>
      </c>
      <c r="B24" s="318" t="s">
        <v>256</v>
      </c>
      <c r="C24" s="319"/>
      <c r="D24" s="320"/>
      <c r="E24" s="218" t="s">
        <v>138</v>
      </c>
      <c r="F24" s="219" t="s">
        <v>194</v>
      </c>
      <c r="G24" s="220" t="s">
        <v>194</v>
      </c>
      <c r="H24" s="219" t="s">
        <v>178</v>
      </c>
      <c r="I24" s="219" t="s">
        <v>153</v>
      </c>
      <c r="J24" s="219" t="s">
        <v>153</v>
      </c>
      <c r="K24" s="219" t="s">
        <v>153</v>
      </c>
      <c r="L24" s="221" t="s">
        <v>153</v>
      </c>
      <c r="M24" s="219" t="s">
        <v>153</v>
      </c>
      <c r="N24" s="219" t="s">
        <v>153</v>
      </c>
      <c r="O24" s="219" t="s">
        <v>153</v>
      </c>
      <c r="P24" s="219" t="s">
        <v>153</v>
      </c>
      <c r="Q24" s="203"/>
      <c r="R24" s="205"/>
      <c r="S24" s="205"/>
    </row>
    <row r="25" spans="1:19" s="204" customFormat="1" ht="19" customHeight="1">
      <c r="A25" s="206" t="s">
        <v>348</v>
      </c>
      <c r="B25" s="318" t="s">
        <v>257</v>
      </c>
      <c r="C25" s="319"/>
      <c r="D25" s="320"/>
      <c r="E25" s="218" t="s">
        <v>139</v>
      </c>
      <c r="F25" s="219" t="s">
        <v>194</v>
      </c>
      <c r="G25" s="220" t="s">
        <v>194</v>
      </c>
      <c r="H25" s="219" t="s">
        <v>178</v>
      </c>
      <c r="I25" s="219">
        <v>1</v>
      </c>
      <c r="J25" s="219">
        <v>1</v>
      </c>
      <c r="K25" s="219">
        <v>1</v>
      </c>
      <c r="L25" s="221">
        <v>1</v>
      </c>
      <c r="M25" s="219">
        <v>1</v>
      </c>
      <c r="N25" s="219">
        <v>1</v>
      </c>
      <c r="O25" s="219">
        <v>1</v>
      </c>
      <c r="P25" s="219">
        <v>1</v>
      </c>
      <c r="Q25" s="203"/>
      <c r="R25" s="205"/>
      <c r="S25" s="205"/>
    </row>
    <row r="26" spans="1:19" s="204" customFormat="1" ht="19" customHeight="1">
      <c r="A26" s="206" t="s">
        <v>349</v>
      </c>
      <c r="B26" s="318" t="s">
        <v>303</v>
      </c>
      <c r="C26" s="319"/>
      <c r="D26" s="320"/>
      <c r="E26" s="218" t="s">
        <v>140</v>
      </c>
      <c r="F26" s="219" t="s">
        <v>194</v>
      </c>
      <c r="G26" s="220" t="s">
        <v>194</v>
      </c>
      <c r="H26" s="219" t="s">
        <v>178</v>
      </c>
      <c r="I26" s="219">
        <v>2</v>
      </c>
      <c r="J26" s="219">
        <v>2</v>
      </c>
      <c r="K26" s="219">
        <v>2</v>
      </c>
      <c r="L26" s="221">
        <v>2</v>
      </c>
      <c r="M26" s="219">
        <v>2</v>
      </c>
      <c r="N26" s="219">
        <v>2</v>
      </c>
      <c r="O26" s="219">
        <v>2</v>
      </c>
      <c r="P26" s="219">
        <v>2</v>
      </c>
      <c r="Q26" s="203"/>
      <c r="R26" s="205"/>
      <c r="S26" s="205"/>
    </row>
    <row r="27" spans="1:19" s="204" customFormat="1" ht="19" customHeight="1">
      <c r="A27" s="206" t="s">
        <v>350</v>
      </c>
      <c r="B27" s="318" t="s">
        <v>258</v>
      </c>
      <c r="C27" s="319"/>
      <c r="D27" s="320"/>
      <c r="E27" s="218" t="s">
        <v>141</v>
      </c>
      <c r="F27" s="219" t="s">
        <v>145</v>
      </c>
      <c r="G27" s="220">
        <v>0</v>
      </c>
      <c r="H27" s="219" t="s">
        <v>178</v>
      </c>
      <c r="I27" s="219" t="s">
        <v>154</v>
      </c>
      <c r="J27" s="219" t="s">
        <v>154</v>
      </c>
      <c r="K27" s="219" t="s">
        <v>154</v>
      </c>
      <c r="L27" s="221" t="s">
        <v>154</v>
      </c>
      <c r="M27" s="219" t="s">
        <v>154</v>
      </c>
      <c r="N27" s="219" t="s">
        <v>154</v>
      </c>
      <c r="O27" s="219" t="s">
        <v>154</v>
      </c>
      <c r="P27" s="219" t="s">
        <v>154</v>
      </c>
      <c r="Q27" s="203"/>
      <c r="R27" s="205"/>
      <c r="S27" s="205"/>
    </row>
    <row r="28" spans="1:19" s="204" customFormat="1" ht="12" customHeight="1">
      <c r="A28" s="314" t="s">
        <v>351</v>
      </c>
      <c r="B28" s="315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</row>
    <row r="29" spans="1:19" s="204" customFormat="1" ht="21" customHeight="1">
      <c r="A29" s="316" t="s">
        <v>352</v>
      </c>
      <c r="B29" s="317"/>
      <c r="C29" s="317"/>
      <c r="D29" s="317"/>
      <c r="E29" s="317"/>
      <c r="F29" s="317"/>
      <c r="G29" s="317"/>
      <c r="H29" s="317"/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</row>
  </sheetData>
  <mergeCells count="44">
    <mergeCell ref="A1:B1"/>
    <mergeCell ref="C1:O1"/>
    <mergeCell ref="P1:S1"/>
    <mergeCell ref="A2:B5"/>
    <mergeCell ref="D2:G2"/>
    <mergeCell ref="H2:I3"/>
    <mergeCell ref="J2:O3"/>
    <mergeCell ref="P2:Q2"/>
    <mergeCell ref="R4:S4"/>
    <mergeCell ref="D5:G5"/>
    <mergeCell ref="P5:Q5"/>
    <mergeCell ref="R5:S5"/>
    <mergeCell ref="R2:S2"/>
    <mergeCell ref="D3:G3"/>
    <mergeCell ref="P3:Q3"/>
    <mergeCell ref="R3:S3"/>
    <mergeCell ref="P4:Q4"/>
    <mergeCell ref="B14:D14"/>
    <mergeCell ref="B13:D13"/>
    <mergeCell ref="B12:D12"/>
    <mergeCell ref="B11:D11"/>
    <mergeCell ref="B10:D10"/>
    <mergeCell ref="D4:G4"/>
    <mergeCell ref="H4:I5"/>
    <mergeCell ref="J4:O5"/>
    <mergeCell ref="B9:D9"/>
    <mergeCell ref="B8:D8"/>
    <mergeCell ref="B7:D7"/>
    <mergeCell ref="B6:D6"/>
    <mergeCell ref="B19:D19"/>
    <mergeCell ref="B18:D18"/>
    <mergeCell ref="B17:D17"/>
    <mergeCell ref="B16:D16"/>
    <mergeCell ref="B15:D15"/>
    <mergeCell ref="B24:D24"/>
    <mergeCell ref="B23:D23"/>
    <mergeCell ref="B22:D22"/>
    <mergeCell ref="B21:D21"/>
    <mergeCell ref="B20:D20"/>
    <mergeCell ref="A28:S28"/>
    <mergeCell ref="A29:S29"/>
    <mergeCell ref="B27:D27"/>
    <mergeCell ref="B26:D26"/>
    <mergeCell ref="B25:D25"/>
  </mergeCells>
  <pageMargins left="0.7" right="0.7" top="0.75" bottom="0.75" header="0.3" footer="0.3"/>
  <pageSetup paperSize="9" scale="7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41C6E-5DD2-41D9-A95D-11C4ED709C06}">
  <dimension ref="A1"/>
  <sheetViews>
    <sheetView zoomScale="80" zoomScaleNormal="80" workbookViewId="0">
      <selection activeCell="V33" sqref="V33"/>
    </sheetView>
  </sheetViews>
  <sheetFormatPr defaultRowHeight="14.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57E2B-292A-402E-B4D1-7E93665A2325}">
  <sheetPr>
    <pageSetUpPr fitToPage="1"/>
  </sheetPr>
  <dimension ref="A1:H62"/>
  <sheetViews>
    <sheetView view="pageBreakPreview" zoomScale="85" zoomScaleNormal="70" zoomScaleSheetLayoutView="85" zoomScalePageLayoutView="70" workbookViewId="0">
      <selection activeCell="I12" sqref="I12"/>
    </sheetView>
  </sheetViews>
  <sheetFormatPr defaultColWidth="9.90625" defaultRowHeight="18"/>
  <cols>
    <col min="1" max="1" width="5.453125" style="244" bestFit="1" customWidth="1"/>
    <col min="2" max="2" width="19.6328125" style="244" customWidth="1"/>
    <col min="3" max="3" width="10.54296875" style="244" customWidth="1"/>
    <col min="4" max="4" width="20" style="244" customWidth="1"/>
    <col min="5" max="5" width="2.36328125" style="244" customWidth="1"/>
    <col min="6" max="6" width="15.90625" style="244" customWidth="1"/>
    <col min="7" max="7" width="23.08984375" style="244" customWidth="1"/>
    <col min="8" max="8" width="45.54296875" style="244" customWidth="1"/>
    <col min="9" max="254" width="9.90625" style="244"/>
    <col min="255" max="255" width="3.90625" style="244" customWidth="1"/>
    <col min="256" max="257" width="9.54296875" style="244" customWidth="1"/>
    <col min="258" max="259" width="14.6328125" style="244" customWidth="1"/>
    <col min="260" max="260" width="0" style="244" hidden="1" customWidth="1"/>
    <col min="261" max="267" width="9.54296875" style="244" customWidth="1"/>
    <col min="268" max="510" width="9.90625" style="244"/>
    <col min="511" max="511" width="3.90625" style="244" customWidth="1"/>
    <col min="512" max="513" width="9.54296875" style="244" customWidth="1"/>
    <col min="514" max="515" width="14.6328125" style="244" customWidth="1"/>
    <col min="516" max="516" width="0" style="244" hidden="1" customWidth="1"/>
    <col min="517" max="523" width="9.54296875" style="244" customWidth="1"/>
    <col min="524" max="766" width="9.90625" style="244"/>
    <col min="767" max="767" width="3.90625" style="244" customWidth="1"/>
    <col min="768" max="769" width="9.54296875" style="244" customWidth="1"/>
    <col min="770" max="771" width="14.6328125" style="244" customWidth="1"/>
    <col min="772" max="772" width="0" style="244" hidden="1" customWidth="1"/>
    <col min="773" max="779" width="9.54296875" style="244" customWidth="1"/>
    <col min="780" max="1022" width="9.90625" style="244"/>
    <col min="1023" max="1023" width="3.90625" style="244" customWidth="1"/>
    <col min="1024" max="1025" width="9.54296875" style="244" customWidth="1"/>
    <col min="1026" max="1027" width="14.6328125" style="244" customWidth="1"/>
    <col min="1028" max="1028" width="0" style="244" hidden="1" customWidth="1"/>
    <col min="1029" max="1035" width="9.54296875" style="244" customWidth="1"/>
    <col min="1036" max="1278" width="9.90625" style="244"/>
    <col min="1279" max="1279" width="3.90625" style="244" customWidth="1"/>
    <col min="1280" max="1281" width="9.54296875" style="244" customWidth="1"/>
    <col min="1282" max="1283" width="14.6328125" style="244" customWidth="1"/>
    <col min="1284" max="1284" width="0" style="244" hidden="1" customWidth="1"/>
    <col min="1285" max="1291" width="9.54296875" style="244" customWidth="1"/>
    <col min="1292" max="1534" width="9.90625" style="244"/>
    <col min="1535" max="1535" width="3.90625" style="244" customWidth="1"/>
    <col min="1536" max="1537" width="9.54296875" style="244" customWidth="1"/>
    <col min="1538" max="1539" width="14.6328125" style="244" customWidth="1"/>
    <col min="1540" max="1540" width="0" style="244" hidden="1" customWidth="1"/>
    <col min="1541" max="1547" width="9.54296875" style="244" customWidth="1"/>
    <col min="1548" max="1790" width="9.90625" style="244"/>
    <col min="1791" max="1791" width="3.90625" style="244" customWidth="1"/>
    <col min="1792" max="1793" width="9.54296875" style="244" customWidth="1"/>
    <col min="1794" max="1795" width="14.6328125" style="244" customWidth="1"/>
    <col min="1796" max="1796" width="0" style="244" hidden="1" customWidth="1"/>
    <col min="1797" max="1803" width="9.54296875" style="244" customWidth="1"/>
    <col min="1804" max="2046" width="9.90625" style="244"/>
    <col min="2047" max="2047" width="3.90625" style="244" customWidth="1"/>
    <col min="2048" max="2049" width="9.54296875" style="244" customWidth="1"/>
    <col min="2050" max="2051" width="14.6328125" style="244" customWidth="1"/>
    <col min="2052" max="2052" width="0" style="244" hidden="1" customWidth="1"/>
    <col min="2053" max="2059" width="9.54296875" style="244" customWidth="1"/>
    <col min="2060" max="2302" width="9.90625" style="244"/>
    <col min="2303" max="2303" width="3.90625" style="244" customWidth="1"/>
    <col min="2304" max="2305" width="9.54296875" style="244" customWidth="1"/>
    <col min="2306" max="2307" width="14.6328125" style="244" customWidth="1"/>
    <col min="2308" max="2308" width="0" style="244" hidden="1" customWidth="1"/>
    <col min="2309" max="2315" width="9.54296875" style="244" customWidth="1"/>
    <col min="2316" max="2558" width="9.90625" style="244"/>
    <col min="2559" max="2559" width="3.90625" style="244" customWidth="1"/>
    <col min="2560" max="2561" width="9.54296875" style="244" customWidth="1"/>
    <col min="2562" max="2563" width="14.6328125" style="244" customWidth="1"/>
    <col min="2564" max="2564" width="0" style="244" hidden="1" customWidth="1"/>
    <col min="2565" max="2571" width="9.54296875" style="244" customWidth="1"/>
    <col min="2572" max="2814" width="9.90625" style="244"/>
    <col min="2815" max="2815" width="3.90625" style="244" customWidth="1"/>
    <col min="2816" max="2817" width="9.54296875" style="244" customWidth="1"/>
    <col min="2818" max="2819" width="14.6328125" style="244" customWidth="1"/>
    <col min="2820" max="2820" width="0" style="244" hidden="1" customWidth="1"/>
    <col min="2821" max="2827" width="9.54296875" style="244" customWidth="1"/>
    <col min="2828" max="3070" width="9.90625" style="244"/>
    <col min="3071" max="3071" width="3.90625" style="244" customWidth="1"/>
    <col min="3072" max="3073" width="9.54296875" style="244" customWidth="1"/>
    <col min="3074" max="3075" width="14.6328125" style="244" customWidth="1"/>
    <col min="3076" max="3076" width="0" style="244" hidden="1" customWidth="1"/>
    <col min="3077" max="3083" width="9.54296875" style="244" customWidth="1"/>
    <col min="3084" max="3326" width="9.90625" style="244"/>
    <col min="3327" max="3327" width="3.90625" style="244" customWidth="1"/>
    <col min="3328" max="3329" width="9.54296875" style="244" customWidth="1"/>
    <col min="3330" max="3331" width="14.6328125" style="244" customWidth="1"/>
    <col min="3332" max="3332" width="0" style="244" hidden="1" customWidth="1"/>
    <col min="3333" max="3339" width="9.54296875" style="244" customWidth="1"/>
    <col min="3340" max="3582" width="9.90625" style="244"/>
    <col min="3583" max="3583" width="3.90625" style="244" customWidth="1"/>
    <col min="3584" max="3585" width="9.54296875" style="244" customWidth="1"/>
    <col min="3586" max="3587" width="14.6328125" style="244" customWidth="1"/>
    <col min="3588" max="3588" width="0" style="244" hidden="1" customWidth="1"/>
    <col min="3589" max="3595" width="9.54296875" style="244" customWidth="1"/>
    <col min="3596" max="3838" width="9.90625" style="244"/>
    <col min="3839" max="3839" width="3.90625" style="244" customWidth="1"/>
    <col min="3840" max="3841" width="9.54296875" style="244" customWidth="1"/>
    <col min="3842" max="3843" width="14.6328125" style="244" customWidth="1"/>
    <col min="3844" max="3844" width="0" style="244" hidden="1" customWidth="1"/>
    <col min="3845" max="3851" width="9.54296875" style="244" customWidth="1"/>
    <col min="3852" max="4094" width="9.90625" style="244"/>
    <col min="4095" max="4095" width="3.90625" style="244" customWidth="1"/>
    <col min="4096" max="4097" width="9.54296875" style="244" customWidth="1"/>
    <col min="4098" max="4099" width="14.6328125" style="244" customWidth="1"/>
    <col min="4100" max="4100" width="0" style="244" hidden="1" customWidth="1"/>
    <col min="4101" max="4107" width="9.54296875" style="244" customWidth="1"/>
    <col min="4108" max="4350" width="9.90625" style="244"/>
    <col min="4351" max="4351" width="3.90625" style="244" customWidth="1"/>
    <col min="4352" max="4353" width="9.54296875" style="244" customWidth="1"/>
    <col min="4354" max="4355" width="14.6328125" style="244" customWidth="1"/>
    <col min="4356" max="4356" width="0" style="244" hidden="1" customWidth="1"/>
    <col min="4357" max="4363" width="9.54296875" style="244" customWidth="1"/>
    <col min="4364" max="4606" width="9.90625" style="244"/>
    <col min="4607" max="4607" width="3.90625" style="244" customWidth="1"/>
    <col min="4608" max="4609" width="9.54296875" style="244" customWidth="1"/>
    <col min="4610" max="4611" width="14.6328125" style="244" customWidth="1"/>
    <col min="4612" max="4612" width="0" style="244" hidden="1" customWidth="1"/>
    <col min="4613" max="4619" width="9.54296875" style="244" customWidth="1"/>
    <col min="4620" max="4862" width="9.90625" style="244"/>
    <col min="4863" max="4863" width="3.90625" style="244" customWidth="1"/>
    <col min="4864" max="4865" width="9.54296875" style="244" customWidth="1"/>
    <col min="4866" max="4867" width="14.6328125" style="244" customWidth="1"/>
    <col min="4868" max="4868" width="0" style="244" hidden="1" customWidth="1"/>
    <col min="4869" max="4875" width="9.54296875" style="244" customWidth="1"/>
    <col min="4876" max="5118" width="9.90625" style="244"/>
    <col min="5119" max="5119" width="3.90625" style="244" customWidth="1"/>
    <col min="5120" max="5121" width="9.54296875" style="244" customWidth="1"/>
    <col min="5122" max="5123" width="14.6328125" style="244" customWidth="1"/>
    <col min="5124" max="5124" width="0" style="244" hidden="1" customWidth="1"/>
    <col min="5125" max="5131" width="9.54296875" style="244" customWidth="1"/>
    <col min="5132" max="5374" width="9.90625" style="244"/>
    <col min="5375" max="5375" width="3.90625" style="244" customWidth="1"/>
    <col min="5376" max="5377" width="9.54296875" style="244" customWidth="1"/>
    <col min="5378" max="5379" width="14.6328125" style="244" customWidth="1"/>
    <col min="5380" max="5380" width="0" style="244" hidden="1" customWidth="1"/>
    <col min="5381" max="5387" width="9.54296875" style="244" customWidth="1"/>
    <col min="5388" max="5630" width="9.90625" style="244"/>
    <col min="5631" max="5631" width="3.90625" style="244" customWidth="1"/>
    <col min="5632" max="5633" width="9.54296875" style="244" customWidth="1"/>
    <col min="5634" max="5635" width="14.6328125" style="244" customWidth="1"/>
    <col min="5636" max="5636" width="0" style="244" hidden="1" customWidth="1"/>
    <col min="5637" max="5643" width="9.54296875" style="244" customWidth="1"/>
    <col min="5644" max="5886" width="9.90625" style="244"/>
    <col min="5887" max="5887" width="3.90625" style="244" customWidth="1"/>
    <col min="5888" max="5889" width="9.54296875" style="244" customWidth="1"/>
    <col min="5890" max="5891" width="14.6328125" style="244" customWidth="1"/>
    <col min="5892" max="5892" width="0" style="244" hidden="1" customWidth="1"/>
    <col min="5893" max="5899" width="9.54296875" style="244" customWidth="1"/>
    <col min="5900" max="6142" width="9.90625" style="244"/>
    <col min="6143" max="6143" width="3.90625" style="244" customWidth="1"/>
    <col min="6144" max="6145" width="9.54296875" style="244" customWidth="1"/>
    <col min="6146" max="6147" width="14.6328125" style="244" customWidth="1"/>
    <col min="6148" max="6148" width="0" style="244" hidden="1" customWidth="1"/>
    <col min="6149" max="6155" width="9.54296875" style="244" customWidth="1"/>
    <col min="6156" max="6398" width="9.90625" style="244"/>
    <col min="6399" max="6399" width="3.90625" style="244" customWidth="1"/>
    <col min="6400" max="6401" width="9.54296875" style="244" customWidth="1"/>
    <col min="6402" max="6403" width="14.6328125" style="244" customWidth="1"/>
    <col min="6404" max="6404" width="0" style="244" hidden="1" customWidth="1"/>
    <col min="6405" max="6411" width="9.54296875" style="244" customWidth="1"/>
    <col min="6412" max="6654" width="9.90625" style="244"/>
    <col min="6655" max="6655" width="3.90625" style="244" customWidth="1"/>
    <col min="6656" max="6657" width="9.54296875" style="244" customWidth="1"/>
    <col min="6658" max="6659" width="14.6328125" style="244" customWidth="1"/>
    <col min="6660" max="6660" width="0" style="244" hidden="1" customWidth="1"/>
    <col min="6661" max="6667" width="9.54296875" style="244" customWidth="1"/>
    <col min="6668" max="6910" width="9.90625" style="244"/>
    <col min="6911" max="6911" width="3.90625" style="244" customWidth="1"/>
    <col min="6912" max="6913" width="9.54296875" style="244" customWidth="1"/>
    <col min="6914" max="6915" width="14.6328125" style="244" customWidth="1"/>
    <col min="6916" max="6916" width="0" style="244" hidden="1" customWidth="1"/>
    <col min="6917" max="6923" width="9.54296875" style="244" customWidth="1"/>
    <col min="6924" max="7166" width="9.90625" style="244"/>
    <col min="7167" max="7167" width="3.90625" style="244" customWidth="1"/>
    <col min="7168" max="7169" width="9.54296875" style="244" customWidth="1"/>
    <col min="7170" max="7171" width="14.6328125" style="244" customWidth="1"/>
    <col min="7172" max="7172" width="0" style="244" hidden="1" customWidth="1"/>
    <col min="7173" max="7179" width="9.54296875" style="244" customWidth="1"/>
    <col min="7180" max="7422" width="9.90625" style="244"/>
    <col min="7423" max="7423" width="3.90625" style="244" customWidth="1"/>
    <col min="7424" max="7425" width="9.54296875" style="244" customWidth="1"/>
    <col min="7426" max="7427" width="14.6328125" style="244" customWidth="1"/>
    <col min="7428" max="7428" width="0" style="244" hidden="1" customWidth="1"/>
    <col min="7429" max="7435" width="9.54296875" style="244" customWidth="1"/>
    <col min="7436" max="7678" width="9.90625" style="244"/>
    <col min="7679" max="7679" width="3.90625" style="244" customWidth="1"/>
    <col min="7680" max="7681" width="9.54296875" style="244" customWidth="1"/>
    <col min="7682" max="7683" width="14.6328125" style="244" customWidth="1"/>
    <col min="7684" max="7684" width="0" style="244" hidden="1" customWidth="1"/>
    <col min="7685" max="7691" width="9.54296875" style="244" customWidth="1"/>
    <col min="7692" max="7934" width="9.90625" style="244"/>
    <col min="7935" max="7935" width="3.90625" style="244" customWidth="1"/>
    <col min="7936" max="7937" width="9.54296875" style="244" customWidth="1"/>
    <col min="7938" max="7939" width="14.6328125" style="244" customWidth="1"/>
    <col min="7940" max="7940" width="0" style="244" hidden="1" customWidth="1"/>
    <col min="7941" max="7947" width="9.54296875" style="244" customWidth="1"/>
    <col min="7948" max="8190" width="9.90625" style="244"/>
    <col min="8191" max="8191" width="3.90625" style="244" customWidth="1"/>
    <col min="8192" max="8193" width="9.54296875" style="244" customWidth="1"/>
    <col min="8194" max="8195" width="14.6328125" style="244" customWidth="1"/>
    <col min="8196" max="8196" width="0" style="244" hidden="1" customWidth="1"/>
    <col min="8197" max="8203" width="9.54296875" style="244" customWidth="1"/>
    <col min="8204" max="8446" width="9.90625" style="244"/>
    <col min="8447" max="8447" width="3.90625" style="244" customWidth="1"/>
    <col min="8448" max="8449" width="9.54296875" style="244" customWidth="1"/>
    <col min="8450" max="8451" width="14.6328125" style="244" customWidth="1"/>
    <col min="8452" max="8452" width="0" style="244" hidden="1" customWidth="1"/>
    <col min="8453" max="8459" width="9.54296875" style="244" customWidth="1"/>
    <col min="8460" max="8702" width="9.90625" style="244"/>
    <col min="8703" max="8703" width="3.90625" style="244" customWidth="1"/>
    <col min="8704" max="8705" width="9.54296875" style="244" customWidth="1"/>
    <col min="8706" max="8707" width="14.6328125" style="244" customWidth="1"/>
    <col min="8708" max="8708" width="0" style="244" hidden="1" customWidth="1"/>
    <col min="8709" max="8715" width="9.54296875" style="244" customWidth="1"/>
    <col min="8716" max="8958" width="9.90625" style="244"/>
    <col min="8959" max="8959" width="3.90625" style="244" customWidth="1"/>
    <col min="8960" max="8961" width="9.54296875" style="244" customWidth="1"/>
    <col min="8962" max="8963" width="14.6328125" style="244" customWidth="1"/>
    <col min="8964" max="8964" width="0" style="244" hidden="1" customWidth="1"/>
    <col min="8965" max="8971" width="9.54296875" style="244" customWidth="1"/>
    <col min="8972" max="9214" width="9.90625" style="244"/>
    <col min="9215" max="9215" width="3.90625" style="244" customWidth="1"/>
    <col min="9216" max="9217" width="9.54296875" style="244" customWidth="1"/>
    <col min="9218" max="9219" width="14.6328125" style="244" customWidth="1"/>
    <col min="9220" max="9220" width="0" style="244" hidden="1" customWidth="1"/>
    <col min="9221" max="9227" width="9.54296875" style="244" customWidth="1"/>
    <col min="9228" max="9470" width="9.90625" style="244"/>
    <col min="9471" max="9471" width="3.90625" style="244" customWidth="1"/>
    <col min="9472" max="9473" width="9.54296875" style="244" customWidth="1"/>
    <col min="9474" max="9475" width="14.6328125" style="244" customWidth="1"/>
    <col min="9476" max="9476" width="0" style="244" hidden="1" customWidth="1"/>
    <col min="9477" max="9483" width="9.54296875" style="244" customWidth="1"/>
    <col min="9484" max="9726" width="9.90625" style="244"/>
    <col min="9727" max="9727" width="3.90625" style="244" customWidth="1"/>
    <col min="9728" max="9729" width="9.54296875" style="244" customWidth="1"/>
    <col min="9730" max="9731" width="14.6328125" style="244" customWidth="1"/>
    <col min="9732" max="9732" width="0" style="244" hidden="1" customWidth="1"/>
    <col min="9733" max="9739" width="9.54296875" style="244" customWidth="1"/>
    <col min="9740" max="9982" width="9.90625" style="244"/>
    <col min="9983" max="9983" width="3.90625" style="244" customWidth="1"/>
    <col min="9984" max="9985" width="9.54296875" style="244" customWidth="1"/>
    <col min="9986" max="9987" width="14.6328125" style="244" customWidth="1"/>
    <col min="9988" max="9988" width="0" style="244" hidden="1" customWidth="1"/>
    <col min="9989" max="9995" width="9.54296875" style="244" customWidth="1"/>
    <col min="9996" max="10238" width="9.90625" style="244"/>
    <col min="10239" max="10239" width="3.90625" style="244" customWidth="1"/>
    <col min="10240" max="10241" width="9.54296875" style="244" customWidth="1"/>
    <col min="10242" max="10243" width="14.6328125" style="244" customWidth="1"/>
    <col min="10244" max="10244" width="0" style="244" hidden="1" customWidth="1"/>
    <col min="10245" max="10251" width="9.54296875" style="244" customWidth="1"/>
    <col min="10252" max="10494" width="9.90625" style="244"/>
    <col min="10495" max="10495" width="3.90625" style="244" customWidth="1"/>
    <col min="10496" max="10497" width="9.54296875" style="244" customWidth="1"/>
    <col min="10498" max="10499" width="14.6328125" style="244" customWidth="1"/>
    <col min="10500" max="10500" width="0" style="244" hidden="1" customWidth="1"/>
    <col min="10501" max="10507" width="9.54296875" style="244" customWidth="1"/>
    <col min="10508" max="10750" width="9.90625" style="244"/>
    <col min="10751" max="10751" width="3.90625" style="244" customWidth="1"/>
    <col min="10752" max="10753" width="9.54296875" style="244" customWidth="1"/>
    <col min="10754" max="10755" width="14.6328125" style="244" customWidth="1"/>
    <col min="10756" max="10756" width="0" style="244" hidden="1" customWidth="1"/>
    <col min="10757" max="10763" width="9.54296875" style="244" customWidth="1"/>
    <col min="10764" max="11006" width="9.90625" style="244"/>
    <col min="11007" max="11007" width="3.90625" style="244" customWidth="1"/>
    <col min="11008" max="11009" width="9.54296875" style="244" customWidth="1"/>
    <col min="11010" max="11011" width="14.6328125" style="244" customWidth="1"/>
    <col min="11012" max="11012" width="0" style="244" hidden="1" customWidth="1"/>
    <col min="11013" max="11019" width="9.54296875" style="244" customWidth="1"/>
    <col min="11020" max="11262" width="9.90625" style="244"/>
    <col min="11263" max="11263" width="3.90625" style="244" customWidth="1"/>
    <col min="11264" max="11265" width="9.54296875" style="244" customWidth="1"/>
    <col min="11266" max="11267" width="14.6328125" style="244" customWidth="1"/>
    <col min="11268" max="11268" width="0" style="244" hidden="1" customWidth="1"/>
    <col min="11269" max="11275" width="9.54296875" style="244" customWidth="1"/>
    <col min="11276" max="11518" width="9.90625" style="244"/>
    <col min="11519" max="11519" width="3.90625" style="244" customWidth="1"/>
    <col min="11520" max="11521" width="9.54296875" style="244" customWidth="1"/>
    <col min="11522" max="11523" width="14.6328125" style="244" customWidth="1"/>
    <col min="11524" max="11524" width="0" style="244" hidden="1" customWidth="1"/>
    <col min="11525" max="11531" width="9.54296875" style="244" customWidth="1"/>
    <col min="11532" max="11774" width="9.90625" style="244"/>
    <col min="11775" max="11775" width="3.90625" style="244" customWidth="1"/>
    <col min="11776" max="11777" width="9.54296875" style="244" customWidth="1"/>
    <col min="11778" max="11779" width="14.6328125" style="244" customWidth="1"/>
    <col min="11780" max="11780" width="0" style="244" hidden="1" customWidth="1"/>
    <col min="11781" max="11787" width="9.54296875" style="244" customWidth="1"/>
    <col min="11788" max="12030" width="9.90625" style="244"/>
    <col min="12031" max="12031" width="3.90625" style="244" customWidth="1"/>
    <col min="12032" max="12033" width="9.54296875" style="244" customWidth="1"/>
    <col min="12034" max="12035" width="14.6328125" style="244" customWidth="1"/>
    <col min="12036" max="12036" width="0" style="244" hidden="1" customWidth="1"/>
    <col min="12037" max="12043" width="9.54296875" style="244" customWidth="1"/>
    <col min="12044" max="12286" width="9.90625" style="244"/>
    <col min="12287" max="12287" width="3.90625" style="244" customWidth="1"/>
    <col min="12288" max="12289" width="9.54296875" style="244" customWidth="1"/>
    <col min="12290" max="12291" width="14.6328125" style="244" customWidth="1"/>
    <col min="12292" max="12292" width="0" style="244" hidden="1" customWidth="1"/>
    <col min="12293" max="12299" width="9.54296875" style="244" customWidth="1"/>
    <col min="12300" max="12542" width="9.90625" style="244"/>
    <col min="12543" max="12543" width="3.90625" style="244" customWidth="1"/>
    <col min="12544" max="12545" width="9.54296875" style="244" customWidth="1"/>
    <col min="12546" max="12547" width="14.6328125" style="244" customWidth="1"/>
    <col min="12548" max="12548" width="0" style="244" hidden="1" customWidth="1"/>
    <col min="12549" max="12555" width="9.54296875" style="244" customWidth="1"/>
    <col min="12556" max="12798" width="9.90625" style="244"/>
    <col min="12799" max="12799" width="3.90625" style="244" customWidth="1"/>
    <col min="12800" max="12801" width="9.54296875" style="244" customWidth="1"/>
    <col min="12802" max="12803" width="14.6328125" style="244" customWidth="1"/>
    <col min="12804" max="12804" width="0" style="244" hidden="1" customWidth="1"/>
    <col min="12805" max="12811" width="9.54296875" style="244" customWidth="1"/>
    <col min="12812" max="13054" width="9.90625" style="244"/>
    <col min="13055" max="13055" width="3.90625" style="244" customWidth="1"/>
    <col min="13056" max="13057" width="9.54296875" style="244" customWidth="1"/>
    <col min="13058" max="13059" width="14.6328125" style="244" customWidth="1"/>
    <col min="13060" max="13060" width="0" style="244" hidden="1" customWidth="1"/>
    <col min="13061" max="13067" width="9.54296875" style="244" customWidth="1"/>
    <col min="13068" max="13310" width="9.90625" style="244"/>
    <col min="13311" max="13311" width="3.90625" style="244" customWidth="1"/>
    <col min="13312" max="13313" width="9.54296875" style="244" customWidth="1"/>
    <col min="13314" max="13315" width="14.6328125" style="244" customWidth="1"/>
    <col min="13316" max="13316" width="0" style="244" hidden="1" customWidth="1"/>
    <col min="13317" max="13323" width="9.54296875" style="244" customWidth="1"/>
    <col min="13324" max="13566" width="9.90625" style="244"/>
    <col min="13567" max="13567" width="3.90625" style="244" customWidth="1"/>
    <col min="13568" max="13569" width="9.54296875" style="244" customWidth="1"/>
    <col min="13570" max="13571" width="14.6328125" style="244" customWidth="1"/>
    <col min="13572" max="13572" width="0" style="244" hidden="1" customWidth="1"/>
    <col min="13573" max="13579" width="9.54296875" style="244" customWidth="1"/>
    <col min="13580" max="13822" width="9.90625" style="244"/>
    <col min="13823" max="13823" width="3.90625" style="244" customWidth="1"/>
    <col min="13824" max="13825" width="9.54296875" style="244" customWidth="1"/>
    <col min="13826" max="13827" width="14.6328125" style="244" customWidth="1"/>
    <col min="13828" max="13828" width="0" style="244" hidden="1" customWidth="1"/>
    <col min="13829" max="13835" width="9.54296875" style="244" customWidth="1"/>
    <col min="13836" max="14078" width="9.90625" style="244"/>
    <col min="14079" max="14079" width="3.90625" style="244" customWidth="1"/>
    <col min="14080" max="14081" width="9.54296875" style="244" customWidth="1"/>
    <col min="14082" max="14083" width="14.6328125" style="244" customWidth="1"/>
    <col min="14084" max="14084" width="0" style="244" hidden="1" customWidth="1"/>
    <col min="14085" max="14091" width="9.54296875" style="244" customWidth="1"/>
    <col min="14092" max="14334" width="9.90625" style="244"/>
    <col min="14335" max="14335" width="3.90625" style="244" customWidth="1"/>
    <col min="14336" max="14337" width="9.54296875" style="244" customWidth="1"/>
    <col min="14338" max="14339" width="14.6328125" style="244" customWidth="1"/>
    <col min="14340" max="14340" width="0" style="244" hidden="1" customWidth="1"/>
    <col min="14341" max="14347" width="9.54296875" style="244" customWidth="1"/>
    <col min="14348" max="14590" width="9.90625" style="244"/>
    <col min="14591" max="14591" width="3.90625" style="244" customWidth="1"/>
    <col min="14592" max="14593" width="9.54296875" style="244" customWidth="1"/>
    <col min="14594" max="14595" width="14.6328125" style="244" customWidth="1"/>
    <col min="14596" max="14596" width="0" style="244" hidden="1" customWidth="1"/>
    <col min="14597" max="14603" width="9.54296875" style="244" customWidth="1"/>
    <col min="14604" max="14846" width="9.90625" style="244"/>
    <col min="14847" max="14847" width="3.90625" style="244" customWidth="1"/>
    <col min="14848" max="14849" width="9.54296875" style="244" customWidth="1"/>
    <col min="14850" max="14851" width="14.6328125" style="244" customWidth="1"/>
    <col min="14852" max="14852" width="0" style="244" hidden="1" customWidth="1"/>
    <col min="14853" max="14859" width="9.54296875" style="244" customWidth="1"/>
    <col min="14860" max="15102" width="9.90625" style="244"/>
    <col min="15103" max="15103" width="3.90625" style="244" customWidth="1"/>
    <col min="15104" max="15105" width="9.54296875" style="244" customWidth="1"/>
    <col min="15106" max="15107" width="14.6328125" style="244" customWidth="1"/>
    <col min="15108" max="15108" width="0" style="244" hidden="1" customWidth="1"/>
    <col min="15109" max="15115" width="9.54296875" style="244" customWidth="1"/>
    <col min="15116" max="15358" width="9.90625" style="244"/>
    <col min="15359" max="15359" width="3.90625" style="244" customWidth="1"/>
    <col min="15360" max="15361" width="9.54296875" style="244" customWidth="1"/>
    <col min="15362" max="15363" width="14.6328125" style="244" customWidth="1"/>
    <col min="15364" max="15364" width="0" style="244" hidden="1" customWidth="1"/>
    <col min="15365" max="15371" width="9.54296875" style="244" customWidth="1"/>
    <col min="15372" max="15614" width="9.90625" style="244"/>
    <col min="15615" max="15615" width="3.90625" style="244" customWidth="1"/>
    <col min="15616" max="15617" width="9.54296875" style="244" customWidth="1"/>
    <col min="15618" max="15619" width="14.6328125" style="244" customWidth="1"/>
    <col min="15620" max="15620" width="0" style="244" hidden="1" customWidth="1"/>
    <col min="15621" max="15627" width="9.54296875" style="244" customWidth="1"/>
    <col min="15628" max="15870" width="9.90625" style="244"/>
    <col min="15871" max="15871" width="3.90625" style="244" customWidth="1"/>
    <col min="15872" max="15873" width="9.54296875" style="244" customWidth="1"/>
    <col min="15874" max="15875" width="14.6328125" style="244" customWidth="1"/>
    <col min="15876" max="15876" width="0" style="244" hidden="1" customWidth="1"/>
    <col min="15877" max="15883" width="9.54296875" style="244" customWidth="1"/>
    <col min="15884" max="16126" width="9.90625" style="244"/>
    <col min="16127" max="16127" width="3.90625" style="244" customWidth="1"/>
    <col min="16128" max="16129" width="9.54296875" style="244" customWidth="1"/>
    <col min="16130" max="16131" width="14.6328125" style="244" customWidth="1"/>
    <col min="16132" max="16132" width="0" style="244" hidden="1" customWidth="1"/>
    <col min="16133" max="16139" width="9.54296875" style="244" customWidth="1"/>
    <col min="16140" max="16384" width="9.90625" style="244"/>
  </cols>
  <sheetData>
    <row r="1" spans="1:8" s="224" customFormat="1" ht="12.75" customHeight="1">
      <c r="B1"/>
      <c r="C1"/>
      <c r="D1"/>
      <c r="E1"/>
      <c r="F1" s="225" t="s">
        <v>68</v>
      </c>
      <c r="G1" s="226" t="s">
        <v>371</v>
      </c>
      <c r="H1"/>
    </row>
    <row r="2" spans="1:8" s="224" customFormat="1" ht="12.75" customHeight="1">
      <c r="B2"/>
      <c r="C2"/>
      <c r="D2"/>
      <c r="E2"/>
      <c r="F2" s="225" t="s">
        <v>70</v>
      </c>
      <c r="G2" s="227" t="s">
        <v>372</v>
      </c>
      <c r="H2"/>
    </row>
    <row r="3" spans="1:8" s="224" customFormat="1" ht="12.75" customHeight="1" thickBot="1">
      <c r="B3"/>
      <c r="C3"/>
      <c r="D3"/>
      <c r="E3"/>
      <c r="F3" s="225" t="s">
        <v>72</v>
      </c>
      <c r="G3" s="228" t="s">
        <v>373</v>
      </c>
      <c r="H3"/>
    </row>
    <row r="4" spans="1:8" s="224" customFormat="1" ht="17.25" customHeight="1" thickBot="1">
      <c r="A4" s="229"/>
      <c r="B4" s="353" t="s">
        <v>374</v>
      </c>
      <c r="C4" s="353"/>
      <c r="D4" s="231">
        <f ca="1">TODAY()</f>
        <v>45490</v>
      </c>
      <c r="E4"/>
      <c r="F4"/>
      <c r="G4"/>
      <c r="H4"/>
    </row>
    <row r="5" spans="1:8" s="224" customFormat="1" ht="3.9" customHeight="1" thickBot="1">
      <c r="A5" s="229"/>
      <c r="B5" s="354"/>
      <c r="C5" s="354"/>
      <c r="D5" s="232"/>
      <c r="E5"/>
      <c r="F5" s="229"/>
      <c r="G5" s="229"/>
      <c r="H5"/>
    </row>
    <row r="6" spans="1:8" s="224" customFormat="1" ht="17.25" customHeight="1" thickBot="1">
      <c r="A6" s="229"/>
      <c r="B6" s="353" t="s">
        <v>375</v>
      </c>
      <c r="C6" s="353"/>
      <c r="D6" s="233" t="s">
        <v>99</v>
      </c>
      <c r="E6"/>
      <c r="F6" s="230" t="s">
        <v>376</v>
      </c>
      <c r="G6" s="234" t="str">
        <f>'[3]1. CUTTING DOCKET'!D9</f>
        <v>FW24 PRODUCTION</v>
      </c>
      <c r="H6"/>
    </row>
    <row r="7" spans="1:8" s="224" customFormat="1" ht="3.9" customHeight="1" thickBot="1">
      <c r="A7" s="229"/>
      <c r="B7" s="355"/>
      <c r="C7" s="355"/>
      <c r="D7" s="232"/>
      <c r="E7"/>
      <c r="F7" s="235"/>
      <c r="G7" s="236"/>
      <c r="H7"/>
    </row>
    <row r="8" spans="1:8" s="224" customFormat="1" ht="17.25" customHeight="1" thickBot="1">
      <c r="A8" s="229"/>
      <c r="B8" s="353" t="s">
        <v>377</v>
      </c>
      <c r="C8" s="353"/>
      <c r="D8" s="233" t="str">
        <f>'1. CUTTING DOCKET'!D7</f>
        <v>OVLTS206</v>
      </c>
      <c r="E8" s="237"/>
      <c r="F8" s="230" t="s">
        <v>378</v>
      </c>
      <c r="G8" s="233" t="str">
        <f>'[3]1. CUTTING DOCKET'!D10</f>
        <v>SS TEE</v>
      </c>
      <c r="H8"/>
    </row>
    <row r="9" spans="1:8" s="224" customFormat="1" ht="9" customHeight="1" thickBot="1">
      <c r="B9" s="238"/>
      <c r="C9" s="238"/>
      <c r="D9" s="238"/>
      <c r="F9" s="238"/>
      <c r="G9" s="238"/>
    </row>
    <row r="10" spans="1:8" s="236" customFormat="1" ht="33.75" customHeight="1" thickBot="1">
      <c r="A10" s="239" t="s">
        <v>379</v>
      </c>
      <c r="B10" s="239" t="s">
        <v>380</v>
      </c>
      <c r="C10" s="352" t="s">
        <v>381</v>
      </c>
      <c r="D10" s="352"/>
      <c r="E10" s="352"/>
      <c r="F10" s="352"/>
      <c r="G10" s="240" t="s">
        <v>382</v>
      </c>
      <c r="H10" s="240" t="s">
        <v>383</v>
      </c>
    </row>
    <row r="11" spans="1:8" s="224" customFormat="1" ht="106.75" customHeight="1" thickBot="1">
      <c r="A11" s="358">
        <v>1</v>
      </c>
      <c r="B11" s="242" t="s">
        <v>384</v>
      </c>
      <c r="C11" s="356" t="s">
        <v>385</v>
      </c>
      <c r="D11" s="356"/>
      <c r="E11" s="356"/>
      <c r="F11" s="356"/>
      <c r="G11" s="358"/>
      <c r="H11" s="241"/>
    </row>
    <row r="12" spans="1:8" s="224" customFormat="1" ht="106.75" customHeight="1" thickBot="1">
      <c r="A12" s="358"/>
      <c r="B12" s="242" t="s">
        <v>386</v>
      </c>
      <c r="C12" s="356" t="s">
        <v>387</v>
      </c>
      <c r="D12" s="356"/>
      <c r="E12" s="356"/>
      <c r="F12" s="356"/>
      <c r="G12" s="358"/>
      <c r="H12" s="241"/>
    </row>
    <row r="13" spans="1:8" s="224" customFormat="1" ht="106.75" customHeight="1" thickBot="1">
      <c r="A13" s="241">
        <v>2</v>
      </c>
      <c r="B13" s="242" t="s">
        <v>388</v>
      </c>
      <c r="C13" s="356" t="str">
        <f>'1. CUTTING DOCKET'!C138</f>
        <v>IN BTP TẠI 2 TAY + THÂN SAU - IN TẠI UA</v>
      </c>
      <c r="D13" s="356"/>
      <c r="E13" s="356"/>
      <c r="F13" s="356"/>
      <c r="G13" s="241"/>
      <c r="H13" s="241"/>
    </row>
    <row r="14" spans="1:8" s="224" customFormat="1" ht="106.75" customHeight="1" thickBot="1">
      <c r="A14" s="241">
        <v>3</v>
      </c>
      <c r="B14" s="242" t="s">
        <v>389</v>
      </c>
      <c r="C14" s="356"/>
      <c r="D14" s="356"/>
      <c r="E14" s="356"/>
      <c r="F14" s="356"/>
      <c r="G14" s="241"/>
      <c r="H14" s="241"/>
    </row>
    <row r="15" spans="1:8" s="224" customFormat="1" ht="106.75" customHeight="1" thickBot="1">
      <c r="A15" s="241">
        <v>4</v>
      </c>
      <c r="B15" s="242" t="s">
        <v>390</v>
      </c>
      <c r="C15" s="356" t="str">
        <f>'[3]1. CUTTING DOCKET'!C92</f>
        <v>KHÔNG WASH</v>
      </c>
      <c r="D15" s="356"/>
      <c r="E15" s="356"/>
      <c r="F15" s="356"/>
      <c r="G15" s="241"/>
      <c r="H15" s="241"/>
    </row>
    <row r="16" spans="1:8" s="224" customFormat="1" ht="106.75" customHeight="1" thickBot="1">
      <c r="A16" s="241">
        <v>5</v>
      </c>
      <c r="B16" s="242" t="s">
        <v>391</v>
      </c>
      <c r="C16" s="356" t="s">
        <v>392</v>
      </c>
      <c r="D16" s="356"/>
      <c r="E16" s="356"/>
      <c r="F16" s="356"/>
      <c r="G16" s="241"/>
      <c r="H16" s="241"/>
    </row>
    <row r="17" spans="1:8" ht="12" customHeight="1">
      <c r="A17" s="236"/>
      <c r="B17" s="236"/>
      <c r="C17" s="243"/>
      <c r="D17" s="243"/>
      <c r="E17" s="243"/>
      <c r="F17" s="243"/>
      <c r="G17" s="236"/>
      <c r="H17" s="236"/>
    </row>
    <row r="18" spans="1:8" ht="34.5" customHeight="1">
      <c r="A18" s="236"/>
      <c r="B18" s="357" t="s">
        <v>393</v>
      </c>
      <c r="C18" s="357"/>
      <c r="D18" s="357"/>
      <c r="E18" s="243"/>
      <c r="F18" s="243"/>
      <c r="G18" s="357" t="s">
        <v>394</v>
      </c>
      <c r="H18" s="357"/>
    </row>
    <row r="19" spans="1:8" ht="39.9" customHeight="1">
      <c r="A19" s="236"/>
      <c r="B19" s="245"/>
      <c r="C19" s="245"/>
      <c r="D19" s="245"/>
      <c r="E19" s="245"/>
      <c r="F19" s="224"/>
      <c r="G19" s="245"/>
      <c r="H19" s="245"/>
    </row>
    <row r="20" spans="1:8" ht="39.9" customHeight="1">
      <c r="A20" s="229"/>
      <c r="B20" s="246"/>
      <c r="C20" s="246"/>
      <c r="D20" s="246"/>
      <c r="E20" s="246"/>
      <c r="F20" s="246"/>
      <c r="G20" s="246"/>
      <c r="H20" s="246"/>
    </row>
    <row r="21" spans="1:8" ht="39.9" customHeight="1">
      <c r="A21" s="229"/>
      <c r="B21" s="246"/>
      <c r="C21" s="246"/>
      <c r="D21" s="246"/>
      <c r="E21" s="246"/>
      <c r="F21" s="246"/>
      <c r="G21" s="246"/>
      <c r="H21" s="246"/>
    </row>
    <row r="22" spans="1:8" ht="39.9" customHeight="1">
      <c r="A22" s="229"/>
      <c r="B22" s="246"/>
      <c r="C22" s="246"/>
      <c r="D22" s="246"/>
      <c r="E22" s="246"/>
      <c r="F22" s="246"/>
      <c r="G22" s="246"/>
      <c r="H22" s="246"/>
    </row>
    <row r="23" spans="1:8" ht="39.9" customHeight="1">
      <c r="A23" s="229"/>
      <c r="B23" s="246"/>
      <c r="C23" s="246"/>
      <c r="D23" s="246"/>
      <c r="E23" s="246"/>
      <c r="F23" s="246"/>
      <c r="G23" s="246"/>
      <c r="H23" s="246"/>
    </row>
    <row r="24" spans="1:8" ht="39.9" customHeight="1">
      <c r="A24" s="229"/>
      <c r="B24" s="246"/>
      <c r="C24" s="246"/>
      <c r="D24" s="246"/>
      <c r="E24" s="246"/>
      <c r="F24" s="246"/>
      <c r="G24" s="246"/>
      <c r="H24" s="246"/>
    </row>
    <row r="25" spans="1:8" ht="39.9" customHeight="1">
      <c r="A25" s="229"/>
      <c r="B25" s="246"/>
      <c r="C25" s="246"/>
      <c r="D25" s="246"/>
      <c r="E25" s="246"/>
      <c r="F25" s="246"/>
      <c r="G25" s="246"/>
      <c r="H25" s="246"/>
    </row>
    <row r="26" spans="1:8" ht="39.9" customHeight="1">
      <c r="A26" s="229"/>
      <c r="B26" s="246"/>
      <c r="C26" s="246"/>
      <c r="D26" s="246"/>
      <c r="E26" s="246"/>
      <c r="F26" s="246"/>
      <c r="G26" s="246"/>
      <c r="H26" s="246"/>
    </row>
    <row r="27" spans="1:8" ht="39.9" customHeight="1">
      <c r="A27" s="229"/>
      <c r="B27" s="246"/>
      <c r="C27" s="246"/>
      <c r="D27" s="246"/>
      <c r="E27" s="246"/>
      <c r="F27" s="246"/>
      <c r="G27" s="246"/>
      <c r="H27" s="246"/>
    </row>
    <row r="28" spans="1:8" ht="39.9" customHeight="1">
      <c r="A28" s="229"/>
      <c r="B28" s="246"/>
      <c r="C28" s="246"/>
      <c r="D28" s="246"/>
      <c r="E28" s="246"/>
      <c r="F28" s="246"/>
      <c r="G28" s="246"/>
      <c r="H28" s="246"/>
    </row>
    <row r="29" spans="1:8" ht="39.9" customHeight="1">
      <c r="A29" s="229"/>
      <c r="B29" s="246"/>
      <c r="C29" s="246"/>
      <c r="D29" s="246"/>
      <c r="E29" s="246"/>
      <c r="F29" s="246"/>
      <c r="G29" s="246"/>
      <c r="H29" s="246"/>
    </row>
    <row r="30" spans="1:8" ht="39.9" customHeight="1">
      <c r="A30" s="229"/>
      <c r="B30" s="246"/>
      <c r="C30" s="246"/>
      <c r="D30" s="246"/>
      <c r="E30" s="246"/>
      <c r="F30" s="246"/>
      <c r="G30" s="246"/>
      <c r="H30" s="246"/>
    </row>
    <row r="31" spans="1:8" ht="39.9" customHeight="1">
      <c r="A31" s="229"/>
      <c r="B31" s="246"/>
      <c r="C31" s="246"/>
      <c r="D31" s="246"/>
      <c r="E31" s="246"/>
      <c r="F31" s="246"/>
      <c r="G31" s="246"/>
      <c r="H31" s="246"/>
    </row>
    <row r="32" spans="1:8" ht="39.9" customHeight="1">
      <c r="A32" s="229"/>
      <c r="B32" s="246"/>
      <c r="C32" s="246"/>
      <c r="D32" s="246"/>
      <c r="E32" s="246"/>
      <c r="F32" s="246"/>
      <c r="G32" s="246"/>
      <c r="H32" s="246"/>
    </row>
    <row r="33" spans="1:8" ht="39.9" customHeight="1">
      <c r="A33" s="229"/>
      <c r="B33" s="246"/>
      <c r="C33" s="246"/>
      <c r="D33" s="246"/>
      <c r="E33" s="246"/>
      <c r="F33" s="246"/>
      <c r="G33" s="246"/>
      <c r="H33" s="246"/>
    </row>
    <row r="34" spans="1:8" ht="39.9" customHeight="1">
      <c r="A34" s="229"/>
      <c r="B34" s="246"/>
      <c r="C34" s="246"/>
      <c r="D34" s="246"/>
      <c r="E34" s="246"/>
      <c r="F34" s="246"/>
      <c r="G34" s="246"/>
      <c r="H34" s="246"/>
    </row>
    <row r="35" spans="1:8" ht="39.9" customHeight="1">
      <c r="A35" s="229"/>
      <c r="B35" s="246"/>
      <c r="C35" s="246"/>
      <c r="D35" s="246"/>
      <c r="E35" s="246"/>
      <c r="F35" s="246"/>
      <c r="G35" s="246"/>
      <c r="H35" s="246"/>
    </row>
    <row r="36" spans="1:8" ht="39.9" customHeight="1">
      <c r="A36" s="229"/>
      <c r="B36" s="246"/>
      <c r="C36" s="246"/>
      <c r="D36" s="246"/>
      <c r="E36" s="246"/>
      <c r="F36" s="246"/>
      <c r="G36" s="246"/>
      <c r="H36" s="246"/>
    </row>
    <row r="37" spans="1:8" ht="39.9" customHeight="1">
      <c r="A37" s="229"/>
      <c r="B37" s="246"/>
      <c r="C37" s="246"/>
      <c r="D37" s="246"/>
      <c r="E37" s="246"/>
      <c r="F37" s="246"/>
      <c r="G37" s="246"/>
      <c r="H37" s="246"/>
    </row>
    <row r="38" spans="1:8" ht="39.9" customHeight="1">
      <c r="A38" s="229"/>
      <c r="B38" s="246"/>
      <c r="C38" s="246"/>
      <c r="D38" s="246"/>
      <c r="E38" s="246"/>
      <c r="F38" s="246"/>
      <c r="G38" s="246"/>
      <c r="H38" s="246"/>
    </row>
    <row r="39" spans="1:8" ht="39.9" customHeight="1">
      <c r="A39" s="229"/>
      <c r="B39" s="246"/>
      <c r="C39" s="246"/>
      <c r="D39" s="246"/>
      <c r="E39" s="246"/>
      <c r="F39" s="246"/>
      <c r="G39" s="246"/>
      <c r="H39" s="246"/>
    </row>
    <row r="40" spans="1:8" ht="39.9" customHeight="1">
      <c r="A40" s="229"/>
      <c r="B40" s="246"/>
      <c r="C40" s="246"/>
      <c r="D40" s="246"/>
      <c r="E40" s="246"/>
      <c r="F40" s="246"/>
      <c r="G40" s="246"/>
      <c r="H40" s="246"/>
    </row>
    <row r="41" spans="1:8" ht="39.9" customHeight="1">
      <c r="A41" s="229"/>
      <c r="B41" s="246"/>
      <c r="C41" s="246"/>
      <c r="D41" s="246"/>
      <c r="E41" s="246"/>
      <c r="F41" s="246"/>
      <c r="G41" s="246"/>
      <c r="H41" s="246"/>
    </row>
    <row r="42" spans="1:8" ht="39.9" customHeight="1">
      <c r="A42" s="229"/>
      <c r="B42" s="246"/>
      <c r="C42" s="246"/>
      <c r="D42" s="246"/>
      <c r="E42" s="246"/>
      <c r="F42" s="246"/>
      <c r="G42" s="246"/>
      <c r="H42" s="246"/>
    </row>
    <row r="43" spans="1:8" ht="39.9" customHeight="1">
      <c r="A43" s="229"/>
      <c r="B43" s="246"/>
      <c r="C43" s="246"/>
      <c r="D43" s="246"/>
      <c r="E43" s="246"/>
      <c r="F43" s="246"/>
      <c r="G43" s="246"/>
      <c r="H43" s="246"/>
    </row>
    <row r="44" spans="1:8" ht="39.9" customHeight="1">
      <c r="A44" s="229"/>
      <c r="B44" s="246"/>
      <c r="C44" s="246"/>
      <c r="D44" s="246"/>
      <c r="E44" s="246"/>
      <c r="F44" s="246"/>
      <c r="G44" s="246"/>
      <c r="H44" s="246"/>
    </row>
    <row r="45" spans="1:8" ht="39.9" customHeight="1">
      <c r="A45" s="229"/>
      <c r="B45" s="246"/>
      <c r="C45" s="246"/>
      <c r="D45" s="246"/>
      <c r="E45" s="246"/>
      <c r="F45" s="246"/>
      <c r="G45" s="246"/>
      <c r="H45" s="246"/>
    </row>
    <row r="46" spans="1:8" ht="39.9" customHeight="1">
      <c r="A46" s="229"/>
      <c r="B46" s="246"/>
      <c r="C46" s="246"/>
      <c r="D46" s="246"/>
      <c r="E46" s="246"/>
      <c r="F46" s="246"/>
      <c r="G46" s="246"/>
      <c r="H46" s="246"/>
    </row>
    <row r="47" spans="1:8" ht="39.9" customHeight="1">
      <c r="A47" s="229"/>
      <c r="B47" s="246"/>
      <c r="C47" s="246"/>
      <c r="D47" s="246"/>
      <c r="E47" s="246"/>
      <c r="F47" s="246"/>
      <c r="G47" s="246"/>
      <c r="H47" s="246"/>
    </row>
    <row r="48" spans="1:8" ht="39.9" customHeight="1">
      <c r="A48" s="229"/>
      <c r="B48" s="246"/>
      <c r="C48" s="246"/>
      <c r="D48" s="246"/>
      <c r="E48" s="246"/>
      <c r="F48" s="246"/>
      <c r="G48" s="246"/>
      <c r="H48" s="246"/>
    </row>
    <row r="49" spans="1:8" ht="39.9" customHeight="1">
      <c r="A49" s="229"/>
      <c r="B49" s="246"/>
      <c r="C49" s="246"/>
      <c r="D49" s="246"/>
      <c r="E49" s="246"/>
      <c r="F49" s="246"/>
      <c r="G49" s="246"/>
      <c r="H49" s="246"/>
    </row>
    <row r="50" spans="1:8" ht="39.9" customHeight="1">
      <c r="A50" s="229"/>
      <c r="B50" s="246"/>
      <c r="C50" s="246"/>
      <c r="D50" s="246"/>
      <c r="E50" s="246"/>
      <c r="F50" s="246"/>
      <c r="G50" s="246"/>
      <c r="H50" s="246"/>
    </row>
    <row r="51" spans="1:8" ht="39.9" customHeight="1">
      <c r="A51" s="229"/>
      <c r="B51" s="246"/>
      <c r="C51" s="246"/>
      <c r="D51" s="246"/>
      <c r="E51" s="246"/>
      <c r="F51" s="246"/>
      <c r="G51" s="246"/>
      <c r="H51" s="246"/>
    </row>
    <row r="52" spans="1:8" ht="39.9" customHeight="1">
      <c r="A52" s="229"/>
      <c r="B52" s="246"/>
      <c r="C52" s="246"/>
      <c r="D52" s="246"/>
      <c r="E52" s="246"/>
      <c r="F52" s="246"/>
      <c r="G52" s="246"/>
      <c r="H52" s="246"/>
    </row>
    <row r="53" spans="1:8" ht="39.9" customHeight="1">
      <c r="A53" s="229"/>
      <c r="B53" s="246"/>
      <c r="C53" s="246"/>
      <c r="D53" s="246"/>
      <c r="E53" s="246"/>
      <c r="F53" s="246"/>
      <c r="G53" s="246"/>
      <c r="H53" s="246"/>
    </row>
    <row r="54" spans="1:8" ht="39.9" customHeight="1">
      <c r="A54" s="229"/>
      <c r="B54" s="246"/>
      <c r="C54" s="246"/>
      <c r="D54" s="246"/>
      <c r="E54" s="246"/>
      <c r="F54" s="246"/>
      <c r="G54" s="246"/>
      <c r="H54" s="246"/>
    </row>
    <row r="55" spans="1:8" ht="39.9" customHeight="1">
      <c r="A55" s="229"/>
      <c r="B55" s="246"/>
      <c r="C55" s="246"/>
      <c r="D55" s="246"/>
      <c r="E55" s="246"/>
      <c r="F55" s="246"/>
      <c r="G55" s="246"/>
      <c r="H55" s="246"/>
    </row>
    <row r="56" spans="1:8" ht="39.9" customHeight="1">
      <c r="A56" s="229"/>
      <c r="B56" s="246"/>
      <c r="C56" s="246"/>
      <c r="D56" s="246"/>
      <c r="E56" s="246"/>
      <c r="F56" s="246"/>
      <c r="G56" s="246"/>
      <c r="H56" s="246"/>
    </row>
    <row r="57" spans="1:8" ht="39.9" customHeight="1">
      <c r="A57" s="229"/>
      <c r="B57" s="246"/>
      <c r="C57" s="246"/>
      <c r="D57" s="246"/>
      <c r="E57" s="246"/>
      <c r="F57" s="246"/>
      <c r="G57" s="246"/>
      <c r="H57" s="246"/>
    </row>
    <row r="58" spans="1:8" ht="39.9" customHeight="1">
      <c r="A58" s="229"/>
      <c r="B58" s="246"/>
      <c r="C58" s="246"/>
      <c r="D58" s="246"/>
      <c r="E58" s="246"/>
      <c r="F58" s="246"/>
      <c r="G58" s="246"/>
      <c r="H58" s="246"/>
    </row>
    <row r="59" spans="1:8" ht="39.9" customHeight="1">
      <c r="A59" s="229"/>
      <c r="B59" s="246"/>
      <c r="C59" s="246"/>
      <c r="D59" s="246"/>
      <c r="E59" s="246"/>
      <c r="F59" s="246"/>
      <c r="G59" s="246"/>
      <c r="H59" s="246"/>
    </row>
    <row r="60" spans="1:8" ht="39.9" customHeight="1">
      <c r="A60" s="229"/>
      <c r="B60" s="246"/>
      <c r="C60" s="246"/>
      <c r="D60" s="246"/>
      <c r="E60" s="246"/>
      <c r="F60" s="246"/>
      <c r="G60" s="246"/>
      <c r="H60" s="246"/>
    </row>
    <row r="61" spans="1:8" ht="39.9" customHeight="1">
      <c r="A61" s="229"/>
      <c r="B61" s="246"/>
      <c r="C61" s="246"/>
      <c r="D61" s="246"/>
      <c r="E61" s="246"/>
      <c r="F61" s="246"/>
      <c r="G61" s="246"/>
      <c r="H61" s="246"/>
    </row>
    <row r="62" spans="1:8" ht="39.9" customHeight="1">
      <c r="A62" s="229"/>
      <c r="B62" s="246"/>
      <c r="C62" s="246"/>
      <c r="D62" s="246"/>
      <c r="E62" s="246"/>
      <c r="F62" s="246"/>
      <c r="G62" s="246"/>
      <c r="H62" s="246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76EA5E-6AD6-4CE5-9E81-C7A50B0D4FA9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02C5D887-BFE2-4F76-8644-D0A1609451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1. CUTTING DOCKET</vt:lpstr>
      <vt:lpstr>2. TRIM CARD</vt:lpstr>
      <vt:lpstr>3. ĐỊNH VỊ HÌNH IN</vt:lpstr>
      <vt:lpstr>3. THÔNG SỐ</vt:lpstr>
      <vt:lpstr>4. COMMENTS</vt:lpstr>
      <vt:lpstr>6. PP MEETING</vt:lpstr>
      <vt:lpstr>'1. CUTTING DOCKET'!Print_Area</vt:lpstr>
      <vt:lpstr>'2. TRIM CARD'!Print_Area</vt:lpstr>
      <vt:lpstr>'3. ĐỊNH VỊ HÌNH IN'!Print_Area</vt:lpstr>
      <vt:lpstr>'6. PP MEETING'!Print_Area</vt:lpstr>
      <vt:lpstr>'1. CUTTING DOCKET'!Print_Titles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Dieu Cao Thi Hong</cp:lastModifiedBy>
  <cp:lastPrinted>2024-07-08T06:59:39Z</cp:lastPrinted>
  <dcterms:created xsi:type="dcterms:W3CDTF">2016-05-06T01:47:29Z</dcterms:created>
  <dcterms:modified xsi:type="dcterms:W3CDTF">2024-07-17T14:23:34Z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