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MAU DINH MUC\NIKE\FW24\C0063-LST001 (IB7570)\"/>
    </mc:Choice>
  </mc:AlternateContent>
  <xr:revisionPtr revIDLastSave="0" documentId="13_ncr:1_{7091FEDF-ECAD-4226-A449-4021557B9A5B}" xr6:coauthVersionLast="47" xr6:coauthVersionMax="47" xr10:uidLastSave="{00000000-0000-0000-0000-000000000000}"/>
  <bookViews>
    <workbookView xWindow="-120" yWindow="-120" windowWidth="19440" windowHeight="15000" tabRatio="753" xr2:uid="{00000000-000D-0000-FFFF-FFFF00000000}"/>
  </bookViews>
  <sheets>
    <sheet name="UA FULL SIZE 161024" sheetId="36" r:id="rId1"/>
    <sheet name="UA FULL SIZE 141024" sheetId="35" r:id="rId2"/>
    <sheet name="UA FULL SIZE 310824" sheetId="34" r:id="rId3"/>
    <sheet name="UA FULL SIZE 280824" sheetId="33" r:id="rId4"/>
    <sheet name="L=5,W=3" sheetId="32" r:id="rId5"/>
    <sheet name="UA FULL SIZE 120824" sheetId="31" r:id="rId6"/>
    <sheet name="1. CUTTING DOCKET" sheetId="1" r:id="rId7"/>
    <sheet name="GREY" sheetId="16" state="hidden" r:id="rId8"/>
    <sheet name="2. TRIM CARD" sheetId="5" r:id="rId9"/>
    <sheet name="THÔNG SỐ THEO MẪU 19-01-2024" sheetId="24" state="hidden" r:id="rId10"/>
    <sheet name="THUMBHOLE" sheetId="27" r:id="rId11"/>
    <sheet name="COLLAR" sheetId="28" r:id="rId12"/>
    <sheet name="SPEC" sheetId="30" r:id="rId13"/>
    <sheet name="1. CUTTING DOCKET (2)" sheetId="23" state="hidden" r:id="rId14"/>
    <sheet name="2. TRIM CARD (GREY)" sheetId="17" state="hidden" r:id="rId15"/>
    <sheet name="3. ĐỊNH VỊ HÌNH IN.THÊU" sheetId="7" state="hidden" r:id="rId16"/>
    <sheet name="4. THÔNG SỐ SẢN XUẤT" sheetId="8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8" hidden="1">#REF!</definedName>
    <definedName name="_Fill" localSheetId="14" hidden="1">#REF!</definedName>
    <definedName name="_Fill" hidden="1">#REF!</definedName>
    <definedName name="_xlnm._FilterDatabase" localSheetId="6" hidden="1">'1. CUTTING DOCKET'!$A$32:$R$37</definedName>
    <definedName name="_xlnm._FilterDatabase" localSheetId="13" hidden="1">'1. CUTTING DOCKET (2)'!$A$31:$R$35</definedName>
    <definedName name="_xlnm._FilterDatabase" localSheetId="7" hidden="1">GREY!$A$64:$Q$131</definedName>
    <definedName name="_lap1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>#REF!</definedName>
    <definedName name="FHT">#REF!</definedName>
    <definedName name="Full">[14]QMCT!#REF!</definedName>
    <definedName name="giaca">'[16]dg-VTu'!$C$6:$F$55</definedName>
    <definedName name="HDCCT">[14]QMCT!#REF!</definedName>
    <definedName name="HDCD">[14]QMCT!#REF!</definedName>
    <definedName name="Heâ_Soá">'[17]He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K">#REF!</definedName>
    <definedName name="K_1" localSheetId="13">[18]!K_1</definedName>
    <definedName name="K_1" localSheetId="4">[18]!K_1</definedName>
    <definedName name="K_1" localSheetId="5">[18]!K_1</definedName>
    <definedName name="K_1" localSheetId="1">[18]!K_1</definedName>
    <definedName name="K_1" localSheetId="0">[18]!K_1</definedName>
    <definedName name="K_1" localSheetId="3">[18]!K_1</definedName>
    <definedName name="K_1" localSheetId="2">[18]!K_1</definedName>
    <definedName name="K_1">[18]!K_1</definedName>
    <definedName name="K_2" localSheetId="13">[18]!K_2</definedName>
    <definedName name="K_2" localSheetId="4">[18]!K_2</definedName>
    <definedName name="K_2" localSheetId="5">[18]!K_2</definedName>
    <definedName name="K_2" localSheetId="1">[18]!K_2</definedName>
    <definedName name="K_2" localSheetId="0">[18]!K_2</definedName>
    <definedName name="K_2" localSheetId="3">[18]!K_2</definedName>
    <definedName name="K_2" localSheetId="2">[18]!K_2</definedName>
    <definedName name="K_2">[18]!K_2</definedName>
    <definedName name="Khaû_Naêng">#REF!</definedName>
    <definedName name="KN">#REF!</definedName>
    <definedName name="KNIT">'[19]GENERAL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>#REF!</definedName>
    <definedName name="Maõ_CÑ">#REF!</definedName>
    <definedName name="Maõ_Haøng">#REF!</definedName>
    <definedName name="mat">[20]Tke!$AD$10:$AR$96</definedName>
    <definedName name="MAVT">[21]Code!$A$7:$A$73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AVY" hidden="1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 localSheetId="13">[22]!NToS</definedName>
    <definedName name="NToS" localSheetId="4">[22]!NToS</definedName>
    <definedName name="NToS" localSheetId="5">[22]!NToS</definedName>
    <definedName name="NToS" localSheetId="1">[22]!NToS</definedName>
    <definedName name="NToS" localSheetId="0">[22]!NToS</definedName>
    <definedName name="NToS" localSheetId="3">[22]!NToS</definedName>
    <definedName name="NToS" localSheetId="2">[22]!NToS</definedName>
    <definedName name="NToS">[22]!NToS</definedName>
    <definedName name="PRICE">#REF!</definedName>
    <definedName name="_xlnm.Print_Area" localSheetId="6">'1. CUTTING DOCKET'!$A$1:$Q$83</definedName>
    <definedName name="_xlnm.Print_Area" localSheetId="13">'1. CUTTING DOCKET (2)'!$A$1:$Q$77</definedName>
    <definedName name="_xlnm.Print_Area" localSheetId="8">'2. TRIM CARD'!$A$1:$B$24</definedName>
    <definedName name="_xlnm.Print_Area" localSheetId="14">'2. TRIM CARD (GREY)'!$A$1:$E$39</definedName>
    <definedName name="_xlnm.Print_Area" localSheetId="7">GREY!$A$1:$P$169</definedName>
    <definedName name="_xlnm.Print_Area" localSheetId="4">'L=5,W=3'!$A$1:$V$22</definedName>
    <definedName name="_xlnm.Print_Area" localSheetId="9">'THÔNG SỐ THEO MẪU 19-01-2024'!$A$1:$F$20</definedName>
    <definedName name="_xlnm.Print_Area" localSheetId="5">'UA FULL SIZE 120824'!$A$1:$R$22</definedName>
    <definedName name="_xlnm.Print_Area" localSheetId="1">'UA FULL SIZE 141024'!$A$1:$S$24</definedName>
    <definedName name="_xlnm.Print_Area" localSheetId="0">'UA FULL SIZE 161024'!$A$1:$S$24</definedName>
    <definedName name="_xlnm.Print_Area" localSheetId="3">'UA FULL SIZE 280824'!$A$1:$R$25</definedName>
    <definedName name="_xlnm.Print_Area" localSheetId="2">'UA FULL SIZE 310824'!$A$1:$S$25</definedName>
    <definedName name="Print_erea">[13]QT!$A$1:$U$54</definedName>
    <definedName name="_xlnm.Print_Titles" localSheetId="6">'1. CUTTING DOCKET'!$1:$15</definedName>
    <definedName name="_xlnm.Print_Titles" localSheetId="13">'1. CUTTING DOCKET (2)'!$1:$15</definedName>
    <definedName name="_xlnm.Print_Titles" localSheetId="8">'2. TRIM CARD'!$1:$5</definedName>
    <definedName name="_xlnm.Print_Titles" localSheetId="14">'2. TRIM CARD (GREY)'!$1:$5</definedName>
    <definedName name="_xlnm.Print_Titles" localSheetId="7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ESEAM" hidden="1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bleStart">[23]Tables!$C$3</definedName>
    <definedName name="tablestart1">[24]Tables!$C$3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'[25]Chi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5" i="36" l="1"/>
  <c r="M15" i="36"/>
  <c r="L12" i="36" l="1"/>
  <c r="M12" i="36"/>
  <c r="L22" i="36"/>
  <c r="M22" i="36"/>
  <c r="L10" i="36"/>
  <c r="M10" i="36"/>
  <c r="L9" i="36"/>
  <c r="M9" i="36"/>
  <c r="L8" i="36"/>
  <c r="M8" i="36"/>
  <c r="O22" i="36"/>
  <c r="P22" i="36" s="1"/>
  <c r="Q22" i="36" s="1"/>
  <c r="R22" i="36" s="1"/>
  <c r="S22" i="36" s="1"/>
  <c r="O21" i="36"/>
  <c r="P21" i="36" s="1"/>
  <c r="Q21" i="36" s="1"/>
  <c r="R21" i="36" s="1"/>
  <c r="S21" i="36" s="1"/>
  <c r="M21" i="36"/>
  <c r="L21" i="36" s="1"/>
  <c r="Q20" i="36"/>
  <c r="R20" i="36" s="1"/>
  <c r="S20" i="36" s="1"/>
  <c r="P20" i="36"/>
  <c r="O20" i="36"/>
  <c r="M20" i="36"/>
  <c r="L20" i="36"/>
  <c r="P19" i="36"/>
  <c r="Q19" i="36" s="1"/>
  <c r="R19" i="36" s="1"/>
  <c r="S19" i="36" s="1"/>
  <c r="O19" i="36"/>
  <c r="M19" i="36"/>
  <c r="L19" i="36"/>
  <c r="O18" i="36"/>
  <c r="P18" i="36" s="1"/>
  <c r="Q18" i="36" s="1"/>
  <c r="R18" i="36" s="1"/>
  <c r="S18" i="36" s="1"/>
  <c r="M18" i="36"/>
  <c r="L18" i="36" s="1"/>
  <c r="O17" i="36"/>
  <c r="P17" i="36" s="1"/>
  <c r="Q17" i="36" s="1"/>
  <c r="R17" i="36" s="1"/>
  <c r="S17" i="36" s="1"/>
  <c r="M17" i="36"/>
  <c r="L17" i="36" s="1"/>
  <c r="Q16" i="36"/>
  <c r="R16" i="36" s="1"/>
  <c r="S16" i="36" s="1"/>
  <c r="P16" i="36"/>
  <c r="O16" i="36"/>
  <c r="M16" i="36"/>
  <c r="L16" i="36"/>
  <c r="P15" i="36"/>
  <c r="Q15" i="36" s="1"/>
  <c r="R15" i="36" s="1"/>
  <c r="S15" i="36" s="1"/>
  <c r="O15" i="36"/>
  <c r="O14" i="36"/>
  <c r="P14" i="36" s="1"/>
  <c r="Q14" i="36" s="1"/>
  <c r="R14" i="36" s="1"/>
  <c r="S14" i="36" s="1"/>
  <c r="M14" i="36"/>
  <c r="L14" i="36" s="1"/>
  <c r="O13" i="36"/>
  <c r="P13" i="36" s="1"/>
  <c r="Q13" i="36" s="1"/>
  <c r="R13" i="36" s="1"/>
  <c r="S13" i="36" s="1"/>
  <c r="M13" i="36"/>
  <c r="L13" i="36" s="1"/>
  <c r="Q12" i="36"/>
  <c r="R12" i="36" s="1"/>
  <c r="S12" i="36" s="1"/>
  <c r="P12" i="36"/>
  <c r="O12" i="36"/>
  <c r="S11" i="36"/>
  <c r="R11" i="36"/>
  <c r="O10" i="36"/>
  <c r="P10" i="36" s="1"/>
  <c r="Q10" i="36" s="1"/>
  <c r="R10" i="36" s="1"/>
  <c r="S10" i="36" s="1"/>
  <c r="O9" i="36"/>
  <c r="P9" i="36" s="1"/>
  <c r="Q9" i="36" s="1"/>
  <c r="R9" i="36" s="1"/>
  <c r="S9" i="36" s="1"/>
  <c r="P8" i="36"/>
  <c r="Q8" i="36" s="1"/>
  <c r="R8" i="36" s="1"/>
  <c r="S8" i="36" s="1"/>
  <c r="O8" i="36"/>
  <c r="R7" i="36"/>
  <c r="S7" i="36" s="1"/>
  <c r="O18" i="35"/>
  <c r="P18" i="35" s="1"/>
  <c r="Q18" i="35" s="1"/>
  <c r="R18" i="35" s="1"/>
  <c r="S18" i="35" s="1"/>
  <c r="Q19" i="35"/>
  <c r="R19" i="35" s="1"/>
  <c r="S19" i="35" s="1"/>
  <c r="P19" i="35"/>
  <c r="Q21" i="35"/>
  <c r="R21" i="35"/>
  <c r="S21" i="35"/>
  <c r="P21" i="35"/>
  <c r="O21" i="35"/>
  <c r="L21" i="35"/>
  <c r="M21" i="35"/>
  <c r="L20" i="35"/>
  <c r="M20" i="35"/>
  <c r="P20" i="35"/>
  <c r="Q20" i="35" s="1"/>
  <c r="R20" i="35" s="1"/>
  <c r="S20" i="35" s="1"/>
  <c r="O20" i="35"/>
  <c r="O19" i="35"/>
  <c r="L19" i="35"/>
  <c r="M19" i="35"/>
  <c r="M18" i="35"/>
  <c r="L18" i="35"/>
  <c r="Q17" i="35"/>
  <c r="R17" i="35"/>
  <c r="S17" i="35" s="1"/>
  <c r="P17" i="35"/>
  <c r="O17" i="35"/>
  <c r="L17" i="35"/>
  <c r="M17" i="35"/>
  <c r="Q16" i="35"/>
  <c r="R16" i="35"/>
  <c r="S16" i="35" s="1"/>
  <c r="P16" i="35"/>
  <c r="Q12" i="35"/>
  <c r="R12" i="35"/>
  <c r="S12" i="35" s="1"/>
  <c r="P12" i="35"/>
  <c r="O12" i="35"/>
  <c r="L12" i="35"/>
  <c r="M12" i="35"/>
  <c r="P10" i="35"/>
  <c r="Q10" i="35" s="1"/>
  <c r="R10" i="35" s="1"/>
  <c r="S10" i="35" s="1"/>
  <c r="O10" i="35"/>
  <c r="L10" i="35"/>
  <c r="M10" i="35"/>
  <c r="P9" i="35"/>
  <c r="Q9" i="35"/>
  <c r="R9" i="35"/>
  <c r="S9" i="35"/>
  <c r="O9" i="35"/>
  <c r="L9" i="35"/>
  <c r="M9" i="35"/>
  <c r="P8" i="35"/>
  <c r="Q8" i="35"/>
  <c r="R8" i="35" s="1"/>
  <c r="S8" i="35" s="1"/>
  <c r="O8" i="35"/>
  <c r="S22" i="35"/>
  <c r="R22" i="35"/>
  <c r="Q22" i="35"/>
  <c r="P22" i="35"/>
  <c r="O22" i="35"/>
  <c r="L22" i="35"/>
  <c r="M22" i="35"/>
  <c r="O16" i="35"/>
  <c r="M16" i="35"/>
  <c r="L16" i="35" s="1"/>
  <c r="O15" i="35"/>
  <c r="P15" i="35" s="1"/>
  <c r="Q15" i="35" s="1"/>
  <c r="R15" i="35" s="1"/>
  <c r="S15" i="35" s="1"/>
  <c r="M15" i="35"/>
  <c r="L15" i="35" s="1"/>
  <c r="O14" i="35"/>
  <c r="P14" i="35" s="1"/>
  <c r="Q14" i="35" s="1"/>
  <c r="R14" i="35" s="1"/>
  <c r="S14" i="35" s="1"/>
  <c r="M14" i="35"/>
  <c r="L14" i="35"/>
  <c r="O13" i="35"/>
  <c r="P13" i="35" s="1"/>
  <c r="Q13" i="35" s="1"/>
  <c r="R13" i="35" s="1"/>
  <c r="S13" i="35" s="1"/>
  <c r="M13" i="35"/>
  <c r="L13" i="35" s="1"/>
  <c r="R11" i="35"/>
  <c r="S11" i="35" s="1"/>
  <c r="R7" i="35"/>
  <c r="S7" i="35" s="1"/>
  <c r="S21" i="34"/>
  <c r="R21" i="34"/>
  <c r="S19" i="34"/>
  <c r="R19" i="34"/>
  <c r="S18" i="34"/>
  <c r="R18" i="34"/>
  <c r="S22" i="34"/>
  <c r="R22" i="34"/>
  <c r="S17" i="34"/>
  <c r="R17" i="34"/>
  <c r="S16" i="34"/>
  <c r="R16" i="34"/>
  <c r="S15" i="34"/>
  <c r="R15" i="34"/>
  <c r="S14" i="34"/>
  <c r="R14" i="34"/>
  <c r="S13" i="34"/>
  <c r="R13" i="34"/>
  <c r="S12" i="34"/>
  <c r="R12" i="34"/>
  <c r="S11" i="34"/>
  <c r="R11" i="34"/>
  <c r="S10" i="34"/>
  <c r="R10" i="34"/>
  <c r="S9" i="34"/>
  <c r="R9" i="34"/>
  <c r="S8" i="34"/>
  <c r="R8" i="34"/>
  <c r="S7" i="34"/>
  <c r="R7" i="34"/>
  <c r="P15" i="34"/>
  <c r="Q15" i="34" s="1"/>
  <c r="O15" i="34"/>
  <c r="L15" i="34"/>
  <c r="M15" i="34"/>
  <c r="P18" i="34"/>
  <c r="Q18" i="34" s="1"/>
  <c r="O18" i="34"/>
  <c r="M18" i="34"/>
  <c r="L18" i="34"/>
  <c r="P16" i="34"/>
  <c r="Q16" i="34" s="1"/>
  <c r="O16" i="34"/>
  <c r="M16" i="34"/>
  <c r="L16" i="34" s="1"/>
  <c r="O14" i="34"/>
  <c r="P14" i="34" s="1"/>
  <c r="Q14" i="34" s="1"/>
  <c r="M14" i="34"/>
  <c r="L14" i="34" s="1"/>
  <c r="O13" i="34"/>
  <c r="P13" i="34" s="1"/>
  <c r="Q13" i="34" s="1"/>
  <c r="M13" i="34"/>
  <c r="L13" i="34" s="1"/>
  <c r="P18" i="33"/>
  <c r="Q18" i="33" s="1"/>
  <c r="O18" i="33"/>
  <c r="L18" i="33"/>
  <c r="M18" i="33"/>
  <c r="O16" i="33"/>
  <c r="P16" i="33" s="1"/>
  <c r="Q16" i="33" s="1"/>
  <c r="M16" i="33"/>
  <c r="L16" i="33"/>
  <c r="O14" i="33"/>
  <c r="P14" i="33" s="1"/>
  <c r="Q14" i="33" s="1"/>
  <c r="M14" i="33"/>
  <c r="L14" i="33" s="1"/>
  <c r="O13" i="33"/>
  <c r="P13" i="33" s="1"/>
  <c r="Q13" i="33" s="1"/>
  <c r="M13" i="33"/>
  <c r="L13" i="33"/>
  <c r="P22" i="32"/>
  <c r="N22" i="32" s="1"/>
  <c r="L22" i="32" s="1"/>
  <c r="P21" i="32"/>
  <c r="N21" i="32" s="1"/>
  <c r="L21" i="32" s="1"/>
  <c r="P19" i="32"/>
  <c r="N19" i="32" s="1"/>
  <c r="L19" i="32" s="1"/>
  <c r="P18" i="32"/>
  <c r="R18" i="32" s="1"/>
  <c r="T18" i="32" s="1"/>
  <c r="U18" i="32" s="1"/>
  <c r="P17" i="32"/>
  <c r="N17" i="32" s="1"/>
  <c r="L17" i="32" s="1"/>
  <c r="P16" i="32"/>
  <c r="R16" i="32" s="1"/>
  <c r="T16" i="32" s="1"/>
  <c r="U16" i="32" s="1"/>
  <c r="P15" i="32"/>
  <c r="R15" i="32" s="1"/>
  <c r="T15" i="32" s="1"/>
  <c r="U15" i="32" s="1"/>
  <c r="P10" i="32"/>
  <c r="R10" i="32" s="1"/>
  <c r="T10" i="32" s="1"/>
  <c r="U10" i="32" s="1"/>
  <c r="P8" i="32"/>
  <c r="N8" i="32"/>
  <c r="L8" i="32" s="1"/>
  <c r="R21" i="32"/>
  <c r="T21" i="32" s="1"/>
  <c r="U21" i="32" s="1"/>
  <c r="N18" i="32"/>
  <c r="L18" i="32" s="1"/>
  <c r="R17" i="32"/>
  <c r="T17" i="32" s="1"/>
  <c r="U17" i="32" s="1"/>
  <c r="N12" i="32"/>
  <c r="L12" i="32" s="1"/>
  <c r="R12" i="32"/>
  <c r="T12" i="32" s="1"/>
  <c r="U12" i="32" s="1"/>
  <c r="R9" i="32"/>
  <c r="T9" i="32" s="1"/>
  <c r="U9" i="32" s="1"/>
  <c r="N9" i="32"/>
  <c r="L9" i="32" s="1"/>
  <c r="N7" i="32"/>
  <c r="L7" i="32" s="1"/>
  <c r="R7" i="32"/>
  <c r="T7" i="32" s="1"/>
  <c r="U7" i="32" s="1"/>
  <c r="R14" i="32"/>
  <c r="T14" i="32" s="1"/>
  <c r="U14" i="32" s="1"/>
  <c r="N14" i="32"/>
  <c r="L14" i="32" s="1"/>
  <c r="R13" i="32"/>
  <c r="T13" i="32" s="1"/>
  <c r="U13" i="32" s="1"/>
  <c r="N13" i="32"/>
  <c r="L13" i="32" s="1"/>
  <c r="L13" i="31"/>
  <c r="M13" i="31"/>
  <c r="P13" i="31"/>
  <c r="Q13" i="31" s="1"/>
  <c r="O13" i="31"/>
  <c r="L14" i="31"/>
  <c r="M14" i="31"/>
  <c r="P14" i="31"/>
  <c r="Q14" i="31" s="1"/>
  <c r="O14" i="31"/>
  <c r="Q16" i="31"/>
  <c r="P16" i="31"/>
  <c r="O16" i="31"/>
  <c r="L16" i="31"/>
  <c r="M16" i="31"/>
  <c r="B23" i="5"/>
  <c r="A23" i="5"/>
  <c r="B19" i="5"/>
  <c r="B17" i="5"/>
  <c r="A17" i="5"/>
  <c r="B15" i="5"/>
  <c r="A15" i="5"/>
  <c r="N15" i="32" l="1"/>
  <c r="L15" i="32" s="1"/>
  <c r="N10" i="32"/>
  <c r="L10" i="32" s="1"/>
  <c r="R22" i="32"/>
  <c r="T22" i="32" s="1"/>
  <c r="U22" i="32" s="1"/>
  <c r="R19" i="32"/>
  <c r="T19" i="32" s="1"/>
  <c r="U19" i="32" s="1"/>
  <c r="N16" i="32"/>
  <c r="L16" i="32" s="1"/>
  <c r="R8" i="32"/>
  <c r="T8" i="32" s="1"/>
  <c r="U8" i="32" s="1"/>
  <c r="J20" i="1"/>
  <c r="K20" i="1"/>
  <c r="I20" i="1"/>
  <c r="E28" i="1"/>
  <c r="E27" i="1"/>
  <c r="I34" i="1" l="1"/>
  <c r="I38" i="1"/>
  <c r="I35" i="1"/>
  <c r="B21" i="5"/>
  <c r="A21" i="5"/>
  <c r="A8" i="5"/>
  <c r="A10" i="5"/>
  <c r="A12" i="5"/>
  <c r="B11" i="5"/>
  <c r="A11" i="5"/>
  <c r="D67" i="1" l="1"/>
  <c r="E67" i="1"/>
  <c r="G67" i="1"/>
  <c r="H67" i="1"/>
  <c r="I67" i="1"/>
  <c r="C67" i="1"/>
  <c r="F67" i="1" l="1"/>
  <c r="G77" i="23" l="1"/>
  <c r="F77" i="23"/>
  <c r="E77" i="23"/>
  <c r="L43" i="23"/>
  <c r="L42" i="23"/>
  <c r="L41" i="23"/>
  <c r="L32" i="23"/>
  <c r="B27" i="23"/>
  <c r="H19" i="23"/>
  <c r="H20" i="23" s="1"/>
  <c r="H22" i="23" s="1"/>
  <c r="G19" i="23"/>
  <c r="G20" i="23" s="1"/>
  <c r="G22" i="23" s="1"/>
  <c r="D19" i="23"/>
  <c r="D20" i="23" s="1"/>
  <c r="Q18" i="23"/>
  <c r="H32" i="23" l="1"/>
  <c r="F32" i="23" s="1"/>
  <c r="B50" i="23"/>
  <c r="H33" i="23"/>
  <c r="B70" i="23"/>
  <c r="H34" i="23"/>
  <c r="A26" i="23"/>
  <c r="B63" i="23"/>
  <c r="Q19" i="23"/>
  <c r="Q20" i="23" s="1"/>
  <c r="H41" i="23" l="1"/>
  <c r="H39" i="23"/>
  <c r="H37" i="23"/>
  <c r="H42" i="23"/>
  <c r="E27" i="23"/>
  <c r="H40" i="23"/>
  <c r="H38" i="23"/>
  <c r="H43" i="23"/>
  <c r="K33" i="23"/>
  <c r="M33" i="23" s="1"/>
  <c r="O33" i="23" s="1"/>
  <c r="K34" i="23"/>
  <c r="M34" i="23" s="1"/>
  <c r="O34" i="23" s="1"/>
  <c r="K32" i="23"/>
  <c r="M32" i="23" s="1"/>
  <c r="O32" i="23" s="1"/>
  <c r="Q22" i="23"/>
  <c r="L33" i="1"/>
  <c r="C50" i="23" l="1"/>
  <c r="I34" i="23"/>
  <c r="I33" i="23"/>
  <c r="C70" i="23"/>
  <c r="I32" i="23"/>
  <c r="C63" i="23"/>
  <c r="E28" i="23"/>
  <c r="J77" i="23"/>
  <c r="K42" i="23"/>
  <c r="M42" i="23" s="1"/>
  <c r="O42" i="23" s="1"/>
  <c r="G27" i="23"/>
  <c r="K40" i="23"/>
  <c r="M40" i="23" s="1"/>
  <c r="O40" i="23" s="1"/>
  <c r="K38" i="23"/>
  <c r="M38" i="23" s="1"/>
  <c r="O38" i="23" s="1"/>
  <c r="K43" i="23"/>
  <c r="M43" i="23" s="1"/>
  <c r="O43" i="23" s="1"/>
  <c r="K41" i="23"/>
  <c r="M41" i="23" s="1"/>
  <c r="O41" i="23" s="1"/>
  <c r="K39" i="23"/>
  <c r="M39" i="23" s="1"/>
  <c r="O39" i="23" s="1"/>
  <c r="K37" i="23"/>
  <c r="M37" i="23" s="1"/>
  <c r="O37" i="23" s="1"/>
  <c r="I27" i="23" l="1"/>
  <c r="G28" i="23"/>
  <c r="I28" i="23" s="1"/>
  <c r="J28" i="23" l="1"/>
  <c r="M28" i="23" s="1"/>
  <c r="J27" i="23"/>
  <c r="M27" i="23" s="1"/>
  <c r="A9" i="5" l="1"/>
  <c r="L66" i="16" l="1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L97" i="16" l="1"/>
  <c r="L95" i="16"/>
  <c r="L96" i="16"/>
  <c r="L98" i="16"/>
  <c r="P20" i="16"/>
  <c r="G57" i="16" s="1"/>
  <c r="I57" i="16" s="1"/>
  <c r="P40" i="16"/>
  <c r="P35" i="16"/>
  <c r="K118" i="16" s="1"/>
  <c r="M118" i="16" s="1"/>
  <c r="O118" i="16" s="1"/>
  <c r="G42" i="16"/>
  <c r="C169" i="16" s="1"/>
  <c r="I42" i="16"/>
  <c r="E169" i="16" s="1"/>
  <c r="P30" i="16"/>
  <c r="K71" i="16" s="1"/>
  <c r="M71" i="16" s="1"/>
  <c r="O71" i="16" s="1"/>
  <c r="K42" i="16"/>
  <c r="G169" i="16" s="1"/>
  <c r="H42" i="16"/>
  <c r="D169" i="16" s="1"/>
  <c r="J42" i="16"/>
  <c r="F169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85" i="16" l="1"/>
  <c r="M85" i="16" s="1"/>
  <c r="O85" i="16" s="1"/>
  <c r="K94" i="16"/>
  <c r="M94" i="16" s="1"/>
  <c r="O94" i="16" s="1"/>
  <c r="K122" i="16"/>
  <c r="M122" i="16" s="1"/>
  <c r="O122" i="16" s="1"/>
  <c r="K102" i="16"/>
  <c r="M102" i="16" s="1"/>
  <c r="O102" i="16" s="1"/>
  <c r="K110" i="16"/>
  <c r="M110" i="16" s="1"/>
  <c r="O110" i="16" s="1"/>
  <c r="K68" i="16"/>
  <c r="M68" i="16" s="1"/>
  <c r="O68" i="16" s="1"/>
  <c r="K97" i="16"/>
  <c r="M97" i="16" s="1"/>
  <c r="O97" i="16" s="1"/>
  <c r="K111" i="16"/>
  <c r="M111" i="16" s="1"/>
  <c r="O111" i="16" s="1"/>
  <c r="K65" i="16"/>
  <c r="M65" i="16" s="1"/>
  <c r="O65" i="16" s="1"/>
  <c r="K98" i="16"/>
  <c r="M98" i="16" s="1"/>
  <c r="O98" i="16" s="1"/>
  <c r="K88" i="16"/>
  <c r="M88" i="16" s="1"/>
  <c r="O88" i="16" s="1"/>
  <c r="K84" i="16"/>
  <c r="M84" i="16" s="1"/>
  <c r="O84" i="16" s="1"/>
  <c r="K76" i="16"/>
  <c r="M76" i="16" s="1"/>
  <c r="O76" i="16" s="1"/>
  <c r="G47" i="16"/>
  <c r="I47" i="16" s="1"/>
  <c r="K69" i="16"/>
  <c r="M69" i="16" s="1"/>
  <c r="O69" i="16" s="1"/>
  <c r="K73" i="16"/>
  <c r="M73" i="16" s="1"/>
  <c r="O73" i="16" s="1"/>
  <c r="K114" i="16"/>
  <c r="M114" i="16" s="1"/>
  <c r="O114" i="16" s="1"/>
  <c r="G59" i="16"/>
  <c r="I59" i="16" s="1"/>
  <c r="G49" i="16"/>
  <c r="I49" i="16" s="1"/>
  <c r="K115" i="16"/>
  <c r="M115" i="16" s="1"/>
  <c r="O115" i="16" s="1"/>
  <c r="G61" i="16"/>
  <c r="I61" i="16" s="1"/>
  <c r="G56" i="16"/>
  <c r="I56" i="16" s="1"/>
  <c r="G60" i="16"/>
  <c r="I60" i="16" s="1"/>
  <c r="K81" i="16"/>
  <c r="M81" i="16" s="1"/>
  <c r="O81" i="16" s="1"/>
  <c r="K95" i="16"/>
  <c r="M95" i="16" s="1"/>
  <c r="O95" i="16" s="1"/>
  <c r="K123" i="16"/>
  <c r="M123" i="16" s="1"/>
  <c r="O123" i="16" s="1"/>
  <c r="K99" i="16"/>
  <c r="M99" i="16" s="1"/>
  <c r="O99" i="16" s="1"/>
  <c r="G55" i="16"/>
  <c r="I55" i="16" s="1"/>
  <c r="K107" i="16"/>
  <c r="M107" i="16" s="1"/>
  <c r="O107" i="16" s="1"/>
  <c r="K91" i="16"/>
  <c r="M91" i="16" s="1"/>
  <c r="O91" i="16" s="1"/>
  <c r="G48" i="16"/>
  <c r="I48" i="16" s="1"/>
  <c r="K119" i="16"/>
  <c r="M119" i="16" s="1"/>
  <c r="O119" i="16" s="1"/>
  <c r="K87" i="16"/>
  <c r="M87" i="16" s="1"/>
  <c r="O87" i="16" s="1"/>
  <c r="K103" i="16"/>
  <c r="M103" i="16" s="1"/>
  <c r="O103" i="16" s="1"/>
  <c r="K77" i="16"/>
  <c r="M77" i="16" s="1"/>
  <c r="O77" i="16" s="1"/>
  <c r="K101" i="16"/>
  <c r="M101" i="16" s="1"/>
  <c r="O101" i="16" s="1"/>
  <c r="K121" i="16"/>
  <c r="M121" i="16" s="1"/>
  <c r="O121" i="16" s="1"/>
  <c r="K105" i="16"/>
  <c r="M105" i="16" s="1"/>
  <c r="O105" i="16" s="1"/>
  <c r="K75" i="16"/>
  <c r="M75" i="16" s="1"/>
  <c r="O75" i="16" s="1"/>
  <c r="K117" i="16"/>
  <c r="M117" i="16" s="1"/>
  <c r="O117" i="16" s="1"/>
  <c r="K93" i="16"/>
  <c r="M93" i="16" s="1"/>
  <c r="O93" i="16" s="1"/>
  <c r="K80" i="16"/>
  <c r="M80" i="16" s="1"/>
  <c r="O80" i="16" s="1"/>
  <c r="K83" i="16"/>
  <c r="M83" i="16" s="1"/>
  <c r="O83" i="16" s="1"/>
  <c r="K125" i="16"/>
  <c r="M125" i="16" s="1"/>
  <c r="O125" i="16" s="1"/>
  <c r="K126" i="16"/>
  <c r="M126" i="16" s="1"/>
  <c r="O126" i="16" s="1"/>
  <c r="K72" i="16"/>
  <c r="M72" i="16" s="1"/>
  <c r="O72" i="16" s="1"/>
  <c r="K106" i="16"/>
  <c r="M106" i="16" s="1"/>
  <c r="O106" i="16" s="1"/>
  <c r="K79" i="16"/>
  <c r="M79" i="16" s="1"/>
  <c r="O79" i="16" s="1"/>
  <c r="H169" i="16"/>
  <c r="K109" i="16"/>
  <c r="M109" i="16" s="1"/>
  <c r="O109" i="16" s="1"/>
  <c r="K67" i="16"/>
  <c r="M67" i="16" s="1"/>
  <c r="O67" i="16" s="1"/>
  <c r="K113" i="16"/>
  <c r="M113" i="16" s="1"/>
  <c r="O113" i="16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J52" i="16" l="1"/>
  <c r="L52" i="16" s="1"/>
  <c r="L53" i="16"/>
  <c r="L51" i="16"/>
  <c r="D6" i="17" l="1"/>
  <c r="E6" i="17"/>
  <c r="C15" i="17"/>
  <c r="D9" i="17" l="1"/>
  <c r="E9" i="17"/>
  <c r="D11" i="17" l="1"/>
  <c r="E11" i="17"/>
  <c r="B7" i="5" l="1"/>
  <c r="B11" i="17" l="1"/>
  <c r="E15" i="17" l="1"/>
  <c r="D15" i="17"/>
  <c r="C6" i="17" l="1"/>
  <c r="C9" i="17" l="1"/>
  <c r="C11" i="17" l="1"/>
  <c r="D19" i="1" l="1"/>
  <c r="D20" i="1" s="1"/>
  <c r="Q18" i="1"/>
  <c r="B2" i="5"/>
  <c r="B3" i="5"/>
  <c r="A4" i="5"/>
  <c r="A3" i="5"/>
  <c r="A2" i="5"/>
  <c r="B4" i="5"/>
  <c r="Q19" i="1"/>
  <c r="H34" i="1" l="1"/>
  <c r="H38" i="1"/>
  <c r="H35" i="1"/>
  <c r="H37" i="1"/>
  <c r="B44" i="1"/>
  <c r="H36" i="1"/>
  <c r="B60" i="1"/>
  <c r="B52" i="1"/>
  <c r="H33" i="1"/>
  <c r="F33" i="1" s="1"/>
  <c r="B5" i="17"/>
  <c r="B5" i="5"/>
  <c r="Q20" i="1"/>
  <c r="K37" i="1" l="1"/>
  <c r="M37" i="1" s="1"/>
  <c r="O37" i="1" s="1"/>
  <c r="K38" i="1"/>
  <c r="M38" i="1" s="1"/>
  <c r="O38" i="1" s="1"/>
  <c r="K34" i="1"/>
  <c r="M34" i="1" s="1"/>
  <c r="O34" i="1" s="1"/>
  <c r="K35" i="1"/>
  <c r="M35" i="1" s="1"/>
  <c r="O35" i="1" s="1"/>
  <c r="K36" i="1"/>
  <c r="M36" i="1" s="1"/>
  <c r="O36" i="1" s="1"/>
  <c r="Q22" i="1"/>
  <c r="J67" i="1" s="1"/>
  <c r="B15" i="17"/>
  <c r="B13" i="5"/>
  <c r="K33" i="1"/>
  <c r="M33" i="1" s="1"/>
  <c r="O33" i="1" s="1"/>
  <c r="I37" i="1" l="1"/>
  <c r="C44" i="1"/>
  <c r="I36" i="1"/>
  <c r="G27" i="1"/>
  <c r="C52" i="1"/>
  <c r="C60" i="1"/>
  <c r="B6" i="17"/>
  <c r="I33" i="1"/>
  <c r="B6" i="5"/>
  <c r="G28" i="1" l="1"/>
  <c r="I28" i="1" s="1"/>
  <c r="J28" i="1" s="1"/>
  <c r="M28" i="1" s="1"/>
  <c r="G29" i="1"/>
  <c r="I29" i="1" s="1"/>
  <c r="B9" i="17"/>
  <c r="B9" i="5"/>
  <c r="I27" i="1"/>
  <c r="J27" i="1" s="1"/>
  <c r="J29" i="1" l="1"/>
  <c r="M29" i="1" s="1"/>
  <c r="M27" i="1"/>
</calcChain>
</file>

<file path=xl/sharedStrings.xml><?xml version="1.0" encoding="utf-8"?>
<sst xmlns="http://schemas.openxmlformats.org/spreadsheetml/2006/main" count="1880" uniqueCount="454">
  <si>
    <t>Mã số:</t>
  </si>
  <si>
    <t>MER.QT-1.BM.4</t>
  </si>
  <si>
    <t>Lần ban hành:</t>
  </si>
  <si>
    <t>01</t>
  </si>
  <si>
    <t>Số trang</t>
  </si>
  <si>
    <t>03/03</t>
  </si>
  <si>
    <t>THANH QUÝ - 204</t>
  </si>
  <si>
    <t>CUTTING DOCKET</t>
  </si>
  <si>
    <t>THAM KHẢO CÁCH MAY THEO MẪU PP R11-SST65 MÙA FW23 MÀU BLACK SIZE L CHUYỂN CÙNG TNSX</t>
  </si>
  <si>
    <t xml:space="preserve">JOB NUMBER:  </t>
  </si>
  <si>
    <t>R11  SS24  G2705</t>
  </si>
  <si>
    <t xml:space="preserve">STYLE NUMBER: </t>
  </si>
  <si>
    <t>R11-SST82</t>
  </si>
  <si>
    <t xml:space="preserve">STYLE NAME : </t>
  </si>
  <si>
    <t>COMPLEXCON SS TEE</t>
  </si>
  <si>
    <t>SEASON:</t>
  </si>
  <si>
    <t>SS24</t>
  </si>
  <si>
    <t>TÊN HÀNG:</t>
  </si>
  <si>
    <t>SS TEE</t>
  </si>
  <si>
    <t>DROP:</t>
  </si>
  <si>
    <t>ComplexCon</t>
  </si>
  <si>
    <t>NGÀY CẤP:</t>
  </si>
  <si>
    <t>VẢI CHÍNH:</t>
  </si>
  <si>
    <t>SINGLE JERRSEY 100%COTTON 190GSM</t>
  </si>
  <si>
    <t>NGÀY GIAO HÀNG:</t>
  </si>
  <si>
    <t xml:space="preserve">THÀNH PHẦN VẢI: </t>
  </si>
  <si>
    <t>100%COTTON</t>
  </si>
  <si>
    <t>KHỔ VẢI:</t>
  </si>
  <si>
    <t>XÍ NGHIỆP:</t>
  </si>
  <si>
    <t>UN-AVAILABLE</t>
  </si>
  <si>
    <t>KHÁCH HÀNG:</t>
  </si>
  <si>
    <t>RTFKT</t>
  </si>
  <si>
    <t xml:space="preserve">XUẤT NGÀY </t>
  </si>
  <si>
    <t>SKU</t>
  </si>
  <si>
    <t>COLOR</t>
  </si>
  <si>
    <t>SIZE:</t>
  </si>
  <si>
    <t>2XL</t>
  </si>
  <si>
    <t>3XL</t>
  </si>
  <si>
    <t>TOTAL</t>
  </si>
  <si>
    <t xml:space="preserve">ORDER CUT </t>
  </si>
  <si>
    <t>BLACK</t>
  </si>
  <si>
    <t>EXTRA (+/-)</t>
  </si>
  <si>
    <t>TOTAL :</t>
  </si>
  <si>
    <t>SHIPPING SAMPLE REQUIRED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</si>
  <si>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</si>
  <si>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</si>
  <si>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</si>
  <si>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</si>
  <si>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</si>
  <si>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</si>
  <si>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</si>
  <si>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</si>
  <si>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</si>
  <si>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</si>
  <si>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</si>
  <si>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</si>
  <si>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</si>
  <si>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</si>
  <si>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 VIỀN CỔ</t>
  </si>
  <si>
    <t>M</t>
  </si>
  <si>
    <t>RIB 1X1 100% COTTON  260gsm</t>
  </si>
  <si>
    <t>BO CỔ + BO TAY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</si>
  <si>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</si>
  <si>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</si>
  <si>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</si>
  <si>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</si>
  <si>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</si>
  <si>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</si>
  <si>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</si>
  <si>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</si>
  <si>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</si>
  <si>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</si>
  <si>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</si>
  <si>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</si>
  <si>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</si>
  <si>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DÙNG TỒN</t>
  </si>
  <si>
    <t>NHÃN SZIE</t>
  </si>
  <si>
    <t>BLACK + WHITE</t>
  </si>
  <si>
    <t>IM#1032790</t>
  </si>
  <si>
    <t xml:space="preserve">PCS </t>
  </si>
  <si>
    <t>NHÃN THÀNH PHẦN 100% COTTON</t>
  </si>
  <si>
    <t>NỀN ĐEN CHỮ TRẮNG</t>
  </si>
  <si>
    <t>REF#325391</t>
  </si>
  <si>
    <t>PHẦN C : PHỤ LIỆU ĐÓNG GÓI</t>
  </si>
  <si>
    <t>THẺ BÀI TREO</t>
  </si>
  <si>
    <t>NATURAL</t>
  </si>
  <si>
    <t>hangtag: IM1032789
pin+wax string: IM#606804</t>
  </si>
  <si>
    <t>PCS</t>
  </si>
  <si>
    <t>GIẤY CHỐNG ẨM 45CM x 50CM</t>
  </si>
  <si>
    <t>WHITE</t>
  </si>
  <si>
    <t>LOẠI 1</t>
  </si>
  <si>
    <t>BARCODE STICKER 45MM X 30MM</t>
  </si>
  <si>
    <t>R11-0153</t>
  </si>
  <si>
    <t>RTFKT POLYBAG 15" X 20"</t>
  </si>
  <si>
    <t>THÙNG CARTON 60CM x 40CM x 30CM</t>
  </si>
  <si>
    <t>TẤM LÓT THÙNG</t>
  </si>
  <si>
    <t>BIG POLYBAG</t>
  </si>
  <si>
    <t>CLEAR</t>
  </si>
  <si>
    <t>PHẦN D : IN / THÊU / WASH</t>
  </si>
  <si>
    <t>PHẦN E : HÌNH</t>
  </si>
  <si>
    <r>
      <t>IN :</t>
    </r>
    <r>
      <rPr>
        <b/>
        <sz val="24"/>
        <rFont val="Muli"/>
      </rPr>
      <t xml:space="preserve"> </t>
    </r>
  </si>
  <si>
    <t>IN BTP THÂN TRƯỚC, THÂN SAU- PLASTISOL- IN BTP TẠI UA</t>
  </si>
  <si>
    <t>CHẤT LƯỢNG VÀ KÍCH THƯỚC</t>
  </si>
  <si>
    <t>DUYỆT HÌNH IN THEO</t>
  </si>
  <si>
    <t>DUYỆT MÀU SẮC, CHẤT LƯỢNG, KÍCH THƯỚC HÌNH IN THEO 
ÁO MẪU R11-SST79 MÙA SS23</t>
  </si>
  <si>
    <t>KÍCH THƯỚC: 5” H x 3.34646” W</t>
  </si>
  <si>
    <t>XS</t>
  </si>
  <si>
    <t>S</t>
  </si>
  <si>
    <t>L</t>
  </si>
  <si>
    <t>XL</t>
  </si>
  <si>
    <t>XXL</t>
  </si>
  <si>
    <t>ĐỊNH VỊ HÌNH IN NGỰC TRÁI: KHOẢNG CÁCH TỪ ĐỈNH VAI XUỐNG ĐẾN ĐỈNH HÌNH IN VÀ CANH GIỮA NGỰC TRÁI</t>
  </si>
  <si>
    <t>6 1/2"</t>
  </si>
  <si>
    <t>7"</t>
  </si>
  <si>
    <t>7 1/2"</t>
  </si>
  <si>
    <t>KÍCH THƯỚC: 21.0903” H x 11.9865” W</t>
  </si>
  <si>
    <t xml:space="preserve">ĐỊNH VỊ HÌNH IN: NẰM Ở GIỮA THÂN SAU - TỪ ĐƯỜNG TRA GIỮA CỔ SAU XUỐNG </t>
  </si>
  <si>
    <t>1 1/2"</t>
  </si>
  <si>
    <t>2"</t>
  </si>
  <si>
    <t>2 1/2"</t>
  </si>
  <si>
    <r>
      <t>THÊU :</t>
    </r>
    <r>
      <rPr>
        <b/>
        <sz val="24"/>
        <rFont val="Muli"/>
      </rPr>
      <t xml:space="preserve"> </t>
    </r>
  </si>
  <si>
    <t>KHÔNG THÊU</t>
  </si>
  <si>
    <t>DUYỆT HÌNH THÊU THEO</t>
  </si>
  <si>
    <t>THÔNG TIN ĐỊNH VỊ HÌNH THÊU</t>
  </si>
  <si>
    <t>ĐỊNH VỊ HÌNH THÊU:</t>
  </si>
  <si>
    <r>
      <t>WASH:</t>
    </r>
    <r>
      <rPr>
        <sz val="24"/>
        <rFont val="Muli"/>
      </rPr>
      <t xml:space="preserve"> </t>
    </r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</si>
  <si>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</si>
  <si>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</si>
  <si>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</si>
  <si>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</si>
  <si>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</si>
  <si>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</si>
  <si>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</si>
  <si>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</si>
  <si>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</si>
  <si>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</si>
  <si>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</si>
  <si>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</si>
  <si>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</si>
  <si>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</si>
  <si>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</si>
  <si>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</si>
  <si>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100% COTTON</t>
  </si>
  <si>
    <t>186CM</t>
  </si>
  <si>
    <t xml:space="preserve">Xí nghiệp: </t>
  </si>
  <si>
    <t>STUSSY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</si>
  <si>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</si>
  <si>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</si>
  <si>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</si>
  <si>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</si>
  <si>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</si>
  <si>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</si>
  <si>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</si>
  <si>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</si>
  <si>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</si>
  <si>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</si>
  <si>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</si>
  <si>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</si>
  <si>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</si>
  <si>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</si>
  <si>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</si>
  <si>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</si>
  <si>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</si>
  <si>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</si>
  <si>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</si>
  <si>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</si>
  <si>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</si>
  <si>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</si>
  <si>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</si>
  <si>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</si>
  <si>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</si>
  <si>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</si>
  <si>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</si>
  <si>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</si>
  <si>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</si>
  <si>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</si>
  <si>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</si>
  <si>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</si>
  <si>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</si>
  <si>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</si>
  <si>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</si>
  <si>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</si>
  <si>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</si>
  <si>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</si>
  <si>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</si>
  <si>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</si>
  <si>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STICKER DÁN THÙNG</t>
  </si>
  <si>
    <t>YELLOW/
RED/
ORANGE/
WHITE</t>
  </si>
  <si>
    <t>03</t>
  </si>
  <si>
    <t>04</t>
  </si>
  <si>
    <t>05</t>
  </si>
  <si>
    <r>
      <t>IN :</t>
    </r>
    <r>
      <rPr>
        <b/>
        <sz val="22"/>
        <rFont val="Muli"/>
      </rPr>
      <t xml:space="preserve"> </t>
    </r>
  </si>
  <si>
    <t>KHÔNG IN</t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</si>
  <si>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</si>
  <si>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</si>
  <si>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</si>
  <si>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</si>
  <si>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</si>
  <si>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</si>
  <si>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</si>
  <si>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</si>
  <si>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</si>
  <si>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</si>
  <si>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</si>
  <si>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</si>
  <si>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</si>
  <si>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</si>
  <si>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</si>
  <si>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</si>
  <si>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</si>
  <si>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</si>
  <si>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</si>
  <si>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</si>
  <si>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</si>
  <si>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</si>
  <si>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</si>
  <si>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</si>
  <si>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</si>
  <si>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</si>
  <si>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</si>
  <si>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</si>
  <si>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HẠ CỔ SAU</t>
  </si>
  <si>
    <t>NGANG VAI</t>
  </si>
  <si>
    <t>CỬA TAY</t>
  </si>
  <si>
    <t>HẠ CỔ TRƯỚC</t>
  </si>
  <si>
    <t>PLDONAP3715001B00K LOT L83-1 CẤP TRIỆT TIÊU 36M
LOT 95 CẤP ĐỦ SỐ LƯỢNG 13M</t>
  </si>
  <si>
    <t>PLDONAP3715002B00K LOT L4-X CẤP ĐỦ SỐ LƯỢNG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</si>
  <si>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</si>
  <si>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</si>
  <si>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</si>
  <si>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</si>
  <si>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</si>
  <si>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</si>
  <si>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</si>
  <si>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</si>
  <si>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</si>
  <si>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</si>
  <si>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</si>
  <si>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</si>
  <si>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</si>
  <si>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</si>
  <si>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</si>
  <si>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</si>
  <si>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</si>
  <si>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</si>
  <si>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</si>
  <si>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</si>
  <si>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</si>
  <si>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</si>
  <si>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</si>
  <si>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</si>
  <si>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</si>
  <si>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</si>
  <si>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</si>
  <si>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</si>
  <si>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</si>
  <si>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</si>
  <si>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</si>
  <si>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</si>
  <si>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</si>
  <si>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</si>
  <si>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</si>
  <si>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</si>
  <si>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</si>
  <si>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</si>
  <si>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</si>
  <si>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SLEEVE LENGTH - SHORT</t>
  </si>
  <si>
    <t>DÀI TAY</t>
  </si>
  <si>
    <t xml:space="preserve">SLEEVE OPENING 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</si>
  <si>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</si>
  <si>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</si>
  <si>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</si>
  <si>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</si>
  <si>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</si>
  <si>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</si>
  <si>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DROP 1</t>
  </si>
  <si>
    <t>N08-LST01</t>
  </si>
  <si>
    <t>NIKE</t>
  </si>
  <si>
    <r>
      <rPr>
        <b/>
        <sz val="8"/>
        <rFont val="Carlito"/>
        <family val="2"/>
      </rPr>
      <t>SEASON:</t>
    </r>
  </si>
  <si>
    <r>
      <rPr>
        <b/>
        <sz val="8"/>
        <rFont val="Carlito"/>
        <family val="2"/>
      </rPr>
      <t>STYLE NAME:</t>
    </r>
  </si>
  <si>
    <r>
      <rPr>
        <b/>
        <sz val="8"/>
        <rFont val="Carlito"/>
        <family val="2"/>
      </rPr>
      <t>STYLE #:</t>
    </r>
  </si>
  <si>
    <t>DESCRIPTION</t>
  </si>
  <si>
    <t>TOL (+ / -)</t>
  </si>
  <si>
    <r>
      <rPr>
        <b/>
        <sz val="10"/>
        <rFont val="Carlito"/>
        <family val="2"/>
      </rPr>
      <t>FRONT HPS LENGTH</t>
    </r>
  </si>
  <si>
    <t>Dài áo( từ đỉnh vai đến cạnh lai)</t>
  </si>
  <si>
    <r>
      <rPr>
        <i/>
        <sz val="10"/>
        <rFont val="Carlito"/>
        <family val="2"/>
      </rPr>
      <t>1/2</t>
    </r>
  </si>
  <si>
    <t>CHEST- 1" BELOW ARMHOLE</t>
  </si>
  <si>
    <t>NGực dưới nách 1"</t>
  </si>
  <si>
    <r>
      <rPr>
        <b/>
        <sz val="10"/>
        <rFont val="Carlito"/>
        <family val="2"/>
      </rPr>
      <t>BOTTOM SWEEP</t>
    </r>
    <r>
      <rPr>
        <b/>
        <sz val="10"/>
        <rFont val="Carlito"/>
      </rPr>
      <t>-EDGE TO EDGE</t>
    </r>
  </si>
  <si>
    <t>Lai áo</t>
  </si>
  <si>
    <t>SHOULDER SEAM FWD</t>
  </si>
  <si>
    <t xml:space="preserve">Chồm vai </t>
  </si>
  <si>
    <r>
      <rPr>
        <i/>
        <sz val="10"/>
        <rFont val="Carlito"/>
        <family val="2"/>
      </rPr>
      <t>1/8</t>
    </r>
  </si>
  <si>
    <r>
      <rPr>
        <b/>
        <sz val="10"/>
        <rFont val="Carlito"/>
        <family val="2"/>
      </rPr>
      <t>ACROSS SHOULDER</t>
    </r>
    <r>
      <rPr>
        <b/>
        <sz val="10"/>
        <rFont val="Carlito"/>
      </rPr>
      <t>-SEAM TO SEAM</t>
    </r>
  </si>
  <si>
    <t>Rộng vai( từ đường may đến đường may)</t>
  </si>
  <si>
    <t xml:space="preserve">Nách đo thẳng </t>
  </si>
  <si>
    <r>
      <rPr>
        <i/>
        <sz val="10"/>
        <rFont val="Carlito"/>
        <family val="2"/>
      </rPr>
      <t>1/4</t>
    </r>
  </si>
  <si>
    <t>SLEEVE LENGTH- FROM SHOUDER SEAM</t>
  </si>
  <si>
    <t>Dài tay - từ đầu vai đến lai</t>
  </si>
  <si>
    <r>
      <rPr>
        <b/>
        <sz val="10"/>
        <rFont val="Carlito"/>
        <family val="2"/>
      </rPr>
      <t>BICEP</t>
    </r>
    <r>
      <rPr>
        <b/>
        <sz val="10"/>
        <rFont val="Carlito"/>
      </rPr>
      <t>- 1" FROM ARMHOLE</t>
    </r>
  </si>
  <si>
    <t>bắp tay (1" từ nách )</t>
  </si>
  <si>
    <r>
      <rPr>
        <b/>
        <sz val="10"/>
        <rFont val="Carlito"/>
        <family val="2"/>
      </rPr>
      <t>SLEEVE OPENING</t>
    </r>
  </si>
  <si>
    <t>Rộng cửa tay</t>
  </si>
  <si>
    <t>NECK WIDTH-HPS TO HPS</t>
  </si>
  <si>
    <t>Rộng cổ-từ đỉnh vai đến đỉnh vai</t>
  </si>
  <si>
    <r>
      <t>FRONT NECK DROP</t>
    </r>
    <r>
      <rPr>
        <b/>
        <sz val="10"/>
        <rFont val="Carlito"/>
      </rPr>
      <t>- FROM HPS TO NECK SEAM</t>
    </r>
  </si>
  <si>
    <t>Hạ cổ trước-từ đỉnh vai đến đường may cổ</t>
  </si>
  <si>
    <t>BACK NECK DROP- FROM HPS TO NECK SEAM</t>
  </si>
  <si>
    <t>Hạ cổ sau- từ đỉnh vai đến đường may cổ</t>
  </si>
  <si>
    <r>
      <rPr>
        <b/>
        <sz val="10"/>
        <rFont val="Carlito"/>
        <family val="2"/>
      </rPr>
      <t>NECKBAND</t>
    </r>
    <r>
      <rPr>
        <b/>
        <sz val="10"/>
        <rFont val="Carlito"/>
      </rPr>
      <t xml:space="preserve"> HEIGHT</t>
    </r>
  </si>
  <si>
    <t>To bản rib  cổ</t>
  </si>
  <si>
    <t>BOTTOM HEM HEIGHT</t>
  </si>
  <si>
    <t>to bản lai áo</t>
  </si>
  <si>
    <t>SLEEVE CUFF HEIGHT</t>
  </si>
  <si>
    <t>to bản bo tay</t>
  </si>
  <si>
    <t>UA CMMT</t>
  </si>
  <si>
    <t>-1/4"</t>
  </si>
  <si>
    <t>+1/4"</t>
  </si>
  <si>
    <t>V</t>
  </si>
  <si>
    <t>-1/6"</t>
  </si>
  <si>
    <t>-1/8"</t>
  </si>
  <si>
    <t>ư</t>
  </si>
  <si>
    <t>VTK6053 - HEAVY SINGLE JERSEY 330GSM</t>
  </si>
  <si>
    <t>VTK5988 - RIB 1X1 335GSM</t>
  </si>
  <si>
    <t>HEAVY JERSEY 330GSM</t>
  </si>
  <si>
    <t>177CM</t>
  </si>
  <si>
    <t>NIKE (NVS)</t>
  </si>
  <si>
    <t>MAIN</t>
  </si>
  <si>
    <t>EAFC FOUNDER’S KIT</t>
  </si>
  <si>
    <t>IB7570</t>
  </si>
  <si>
    <t>N07  FW24   S2760</t>
  </si>
  <si>
    <t>DÂY PIPING</t>
  </si>
  <si>
    <t>REFLECTIVE</t>
  </si>
  <si>
    <t>MAY THEO TP</t>
  </si>
  <si>
    <t>DEV STYLE NAME:</t>
  </si>
  <si>
    <t>PRODUCTION FACTORY:</t>
  </si>
  <si>
    <t>SAMPLE SIZE:</t>
  </si>
  <si>
    <t>IB7570 - EAFC LS POLO 1</t>
  </si>
  <si>
    <t>HO24</t>
  </si>
  <si>
    <t>UAC-UN-AVAILABLECO.LTD.</t>
  </si>
  <si>
    <t>SAMPLE SUBMIT DATE:</t>
  </si>
  <si>
    <t>Meas. Code</t>
  </si>
  <si>
    <t>POM Name</t>
  </si>
  <si>
    <t>How to Measure Instructions</t>
  </si>
  <si>
    <t>Criticality</t>
  </si>
  <si>
    <t>Tol (-)</t>
  </si>
  <si>
    <t>Tol (+)</t>
  </si>
  <si>
    <t>NK_FH</t>
  </si>
  <si>
    <t>Neck Finish Height at CB</t>
  </si>
  <si>
    <t>Edge to seam or stitch, vertical</t>
  </si>
  <si>
    <t>Critical POM</t>
  </si>
  <si>
    <t>0.3</t>
  </si>
  <si>
    <t>NK_WBH</t>
  </si>
  <si>
    <t>Back Neck Width (from HPS)</t>
  </si>
  <si>
    <t>HPS to HPS, horizontal</t>
  </si>
  <si>
    <t>1.0</t>
  </si>
  <si>
    <t>NK_DBH</t>
  </si>
  <si>
    <t>Back Neck Drop (from HPS)</t>
  </si>
  <si>
    <t>HPS to back neck, vertical</t>
  </si>
  <si>
    <t>0.5</t>
  </si>
  <si>
    <t>NK_DFH</t>
  </si>
  <si>
    <t>Front Neck Drop (from HPS)</t>
  </si>
  <si>
    <t>HPS to front neck, vertical</t>
  </si>
  <si>
    <t>NK_OM</t>
  </si>
  <si>
    <t>Neck Opening (Minimum, Over Head)</t>
  </si>
  <si>
    <t>Stretched to meet or exceed target</t>
  </si>
  <si>
    <t>Critical Safety</t>
  </si>
  <si>
    <t>0.0</t>
  </si>
  <si>
    <t>99.0</t>
  </si>
  <si>
    <t>CL_LT</t>
  </si>
  <si>
    <t>Collar Length</t>
  </si>
  <si>
    <t>Point to point, along top edge (excluding zipper)</t>
  </si>
  <si>
    <t>CL_HT</t>
  </si>
  <si>
    <t>Collar Height</t>
  </si>
  <si>
    <t>CB neck (or collar stand) seam to under collar seam or top collar edge, vertical</t>
  </si>
  <si>
    <t>CL_PL</t>
  </si>
  <si>
    <t>Collar Point Length</t>
  </si>
  <si>
    <t>CF neck (or stand) seam to collar point</t>
  </si>
  <si>
    <t>BL_BN_2</t>
  </si>
  <si>
    <t>Body Length (from Back Neck, Standard length)</t>
  </si>
  <si>
    <t>CB neck to bottom edge, vertical</t>
  </si>
  <si>
    <t>1.5</t>
  </si>
  <si>
    <t>AH_PS</t>
  </si>
  <si>
    <t>Armhole Placement (Style w/ Sleeves)</t>
  </si>
  <si>
    <t>HPS to armhole, vertical</t>
  </si>
  <si>
    <t>CH_WS</t>
  </si>
  <si>
    <t>Chest Width (Set-In/Raglan/Tank)</t>
  </si>
  <si>
    <t>2.5cm below underarm, horizontal</t>
  </si>
  <si>
    <t>SL_LTH_4</t>
  </si>
  <si>
    <t>Sleeve Length (fm HPS, Longer than Elbow)</t>
  </si>
  <si>
    <t>HPS to bottom sleeve edge, along sleeve edge</t>
  </si>
  <si>
    <t>SL_UWS</t>
  </si>
  <si>
    <t>Upper Sleeve Width (Set-in/Raglan)</t>
  </si>
  <si>
    <t>2.5cm below underarm</t>
  </si>
  <si>
    <t>SL_OR_2</t>
  </si>
  <si>
    <t>Slv Opening (Relaxed/Flat, Long Sleeve)</t>
  </si>
  <si>
    <t>Inner edge to edge</t>
  </si>
  <si>
    <t>SL_OE_2</t>
  </si>
  <si>
    <t>Slv Opening (Extended, Long Sleeve)</t>
  </si>
  <si>
    <t>At hem edge, extended to original pattern measurement</t>
  </si>
  <si>
    <t>BH_OR</t>
  </si>
  <si>
    <t>Bottom Opening (Relaxed/Flat)</t>
  </si>
  <si>
    <t>CAO CỔ GIỮA SAU</t>
  </si>
  <si>
    <t>RỘNG CỔ SAU (TỪ ĐỈNH VAI ĐẾN ĐỈNH VAI)</t>
  </si>
  <si>
    <t>VÒNG CỔ ĐO CĂNG NHỎ NHẤT</t>
  </si>
  <si>
    <t>DÀI THÂN SAU</t>
  </si>
  <si>
    <t>NGANG  NGỰC (DƯỚI NÁCH 2.5CM)</t>
  </si>
  <si>
    <t>DÀI TAY (TỪ ĐỈNH VAI ĐẾN CẠNH DƯỚI TAY)</t>
  </si>
  <si>
    <t>RỘNG TAY TRÊN (DƯỚI NÁCH 2.5CM)</t>
  </si>
  <si>
    <t>RỘNG CỬA TAY ĐO THƯỜNG</t>
  </si>
  <si>
    <t>RỘNG CỬA TAY ĐO CĂNG</t>
  </si>
  <si>
    <t>RỘNG LAI</t>
  </si>
  <si>
    <t>RỘNG NÁCH</t>
  </si>
  <si>
    <t>DÀI LÁ CỔ CẠNH TRÊN</t>
  </si>
  <si>
    <t>CAO LÁ CỔ ĐO TẠI GIỮA CỔ SAU</t>
  </si>
  <si>
    <t>DÀI CẠNH LÁ CỔ ĐO ĐIỂM DÀI NHẤT</t>
  </si>
  <si>
    <t>THUN VIỀN 2CM</t>
  </si>
  <si>
    <t>LS TEE</t>
  </si>
  <si>
    <t>VẢI PHỐI</t>
  </si>
  <si>
    <t>ĐỊNH VỊ HÌNH IN:</t>
  </si>
  <si>
    <t>THÔNG TIN ĐỊNH VỊ HÌNH IN</t>
  </si>
  <si>
    <t>DUYỆT THEO UA</t>
  </si>
  <si>
    <t>THEO TP</t>
  </si>
  <si>
    <t>IN BTP THÂN TRƯỚC, THÂN SAU VÀ IN TẠI LAI TRƯỚC, LAI SAU - IN TẠI UA</t>
  </si>
  <si>
    <t>VINTAGE WASH</t>
  </si>
  <si>
    <t>THAM KHẢO CÁCH MAY THEO TÀI LIỆU ĐÍNH KÈM</t>
  </si>
  <si>
    <t>VIỀN TẠI LỖ XỎ NGÓN</t>
  </si>
  <si>
    <t>MER CẤP</t>
  </si>
  <si>
    <t>RIB 1X1 95% COTTON 5%SP, CM 20'S/1 + 140'D, 400GSM_CẦM MÀU</t>
  </si>
  <si>
    <t>CHÂN CỔ + LÁ CỔ</t>
  </si>
  <si>
    <t>MESH 140GSM</t>
  </si>
  <si>
    <t xml:space="preserve">CTFW24P0360001T00K LOT 0825/5 </t>
  </si>
  <si>
    <t>CTFW24P0360002T00K LOT T0825/5</t>
  </si>
  <si>
    <t>HEAVY JERSEY SOLID 100% COTTON CM 20'S/2 WITH ENZYME CUT, 300-310GSM</t>
  </si>
  <si>
    <t>NHÃN CHÍNH</t>
  </si>
  <si>
    <t>NHÃN THÀNH PHẦN</t>
  </si>
  <si>
    <t>BLACK/
WHITE</t>
  </si>
  <si>
    <t>GẬP ĐÔI, GẮN GIỮA CỔ SAU</t>
  </si>
  <si>
    <t>THAY THẾ</t>
  </si>
  <si>
    <t>GẮN Ở SƯỜN TRÁI NGƯỜI MẶC, LAI LÊN 10CM</t>
  </si>
  <si>
    <t>NHÃN TRANG TRÍ TAM GIÁC</t>
  </si>
  <si>
    <t>MULTI</t>
  </si>
  <si>
    <t>DIỄU 1 KIM XUNG QUANH NHÃN TẠI THÂN TRƯỚC BÊN TRÁI</t>
  </si>
  <si>
    <t>THÊU BTP THÂN TRƯỚC BÊN PHẢI + CHÂN CỔ SAU MẶT TRONG - THÊU GIA CÔNG</t>
  </si>
  <si>
    <t>Bỏ ts này theo lần 1. vì dư 1 ts của tay.</t>
  </si>
  <si>
    <t>chỉnh theo cách đo của khác comment</t>
  </si>
  <si>
    <t>M TP</t>
  </si>
  <si>
    <t>TS TRUOC WASH</t>
  </si>
  <si>
    <t>chỉnh theo cuộc họp</t>
  </si>
  <si>
    <r>
      <t xml:space="preserve">Dài lá cổ đặt hàng ( dệt sẵn) TO BẢN </t>
    </r>
    <r>
      <rPr>
        <sz val="11"/>
        <color rgb="FFFF0000"/>
        <rFont val="Arial"/>
        <family val="2"/>
      </rPr>
      <t>12.5CM</t>
    </r>
  </si>
  <si>
    <t>Theo góp ý của khách tăng thêm 1cm</t>
  </si>
  <si>
    <r>
      <t xml:space="preserve">Dài lá cổ đặt hàng ( dệt sẵn) TO BẢN </t>
    </r>
    <r>
      <rPr>
        <sz val="11"/>
        <color rgb="FFFF0000"/>
        <rFont val="Arial"/>
        <family val="2"/>
      </rPr>
      <t>13.5CM</t>
    </r>
  </si>
  <si>
    <t>4XL</t>
  </si>
  <si>
    <t>Dài lá cổ đặt hàng ( dệt sẵn) TO BẢN 9CM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</si>
</sst>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\ ?/2"/>
    <numFmt numFmtId="177" formatCode="#\ ?/4"/>
    <numFmt numFmtId="178" formatCode="dd\ mmm\ yyyy"/>
  </numFmts>
  <fonts count="1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10"/>
      <color rgb="FF000000"/>
      <name val="Arial"/>
      <family val="2"/>
    </font>
    <font>
      <sz val="36"/>
      <color rgb="FF00B0F0"/>
      <name val="Muli"/>
    </font>
    <font>
      <b/>
      <sz val="36"/>
      <color rgb="FF00B0F0"/>
      <name val="Muli"/>
    </font>
    <font>
      <b/>
      <sz val="28"/>
      <color theme="9" tint="-0.249977111117893"/>
      <name val="Muli"/>
    </font>
    <font>
      <b/>
      <i/>
      <sz val="28"/>
      <name val="Muli"/>
    </font>
    <font>
      <b/>
      <sz val="24"/>
      <color theme="9"/>
      <name val="Muli"/>
    </font>
    <font>
      <b/>
      <sz val="24"/>
      <color indexed="48"/>
      <name val="Muli"/>
    </font>
    <font>
      <b/>
      <sz val="24"/>
      <color theme="9" tint="-0.249977111117893"/>
      <name val="Muli"/>
    </font>
    <font>
      <sz val="24"/>
      <color indexed="8"/>
      <name val="Muli"/>
    </font>
    <font>
      <b/>
      <sz val="24"/>
      <color rgb="FFFF0000"/>
      <name val="Muli"/>
    </font>
    <font>
      <b/>
      <u/>
      <sz val="24"/>
      <name val="Muli"/>
    </font>
    <font>
      <sz val="24"/>
      <color theme="9"/>
      <name val="Muli"/>
    </font>
    <font>
      <b/>
      <sz val="18"/>
      <name val="Muli"/>
    </font>
    <font>
      <sz val="18"/>
      <color theme="1"/>
      <name val="Muli"/>
    </font>
    <font>
      <b/>
      <sz val="28"/>
      <color theme="1"/>
      <name val="Muli"/>
    </font>
    <font>
      <b/>
      <sz val="26"/>
      <color theme="9"/>
      <name val="Muli"/>
    </font>
    <font>
      <b/>
      <sz val="26"/>
      <color indexed="48"/>
      <name val="Muli"/>
    </font>
    <font>
      <sz val="26"/>
      <color indexed="8"/>
      <name val="Muli"/>
    </font>
    <font>
      <b/>
      <sz val="26"/>
      <color rgb="FFFF0000"/>
      <name val="Muli"/>
    </font>
    <font>
      <sz val="26"/>
      <color rgb="FFFF0000"/>
      <name val="Muli"/>
    </font>
    <font>
      <sz val="10"/>
      <color rgb="FF000000"/>
      <name val="Times New Roman"/>
      <family val="1"/>
    </font>
    <font>
      <sz val="26"/>
      <color rgb="FF000000"/>
      <name val="Times New Roman"/>
      <family val="1"/>
    </font>
    <font>
      <b/>
      <sz val="8"/>
      <name val="Carlito"/>
    </font>
    <font>
      <b/>
      <sz val="8"/>
      <name val="Carlito"/>
      <family val="2"/>
    </font>
    <font>
      <sz val="8"/>
      <name val="Carlito"/>
    </font>
    <font>
      <sz val="12"/>
      <name val="Carlito"/>
    </font>
    <font>
      <b/>
      <sz val="11"/>
      <name val="Carlito"/>
    </font>
    <font>
      <b/>
      <sz val="6.5"/>
      <name val="Carlito"/>
    </font>
    <font>
      <b/>
      <sz val="12"/>
      <name val="Carlito"/>
    </font>
    <font>
      <b/>
      <sz val="10"/>
      <name val="Carlito"/>
    </font>
    <font>
      <b/>
      <sz val="10"/>
      <name val="Carlito"/>
      <family val="2"/>
    </font>
    <font>
      <sz val="12"/>
      <color rgb="FF000000"/>
      <name val="Muli"/>
    </font>
    <font>
      <i/>
      <sz val="10"/>
      <name val="Carlito"/>
      <family val="2"/>
    </font>
    <font>
      <sz val="14"/>
      <name val="Muli"/>
    </font>
    <font>
      <b/>
      <sz val="8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2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D5DCE3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5" fillId="0" borderId="0"/>
    <xf numFmtId="0" fontId="1" fillId="0" borderId="0"/>
    <xf numFmtId="0" fontId="115" fillId="0" borderId="0"/>
    <xf numFmtId="0" fontId="129" fillId="0" borderId="0"/>
    <xf numFmtId="0" fontId="5" fillId="0" borderId="0" applyProtection="0">
      <protection locked="0"/>
    </xf>
    <xf numFmtId="0" fontId="130" fillId="0" borderId="0"/>
    <xf numFmtId="0" fontId="5" fillId="0" borderId="0"/>
  </cellStyleXfs>
  <cellXfs count="65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0" fontId="48" fillId="0" borderId="50" xfId="2" applyFont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0" fontId="93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97" fillId="3" borderId="0" xfId="0" applyFont="1" applyFill="1" applyAlignment="1">
      <alignment horizontal="left" vertical="center"/>
    </xf>
    <xf numFmtId="0" fontId="97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center" vertical="center"/>
    </xf>
    <xf numFmtId="0" fontId="97" fillId="2" borderId="3" xfId="0" applyFont="1" applyFill="1" applyBorder="1" applyAlignment="1">
      <alignment horizontal="center" vertical="center" wrapText="1"/>
    </xf>
    <xf numFmtId="0" fontId="97" fillId="2" borderId="3" xfId="0" applyFont="1" applyFill="1" applyBorder="1" applyAlignment="1">
      <alignment vertical="center" wrapText="1"/>
    </xf>
    <xf numFmtId="0" fontId="97" fillId="2" borderId="1" xfId="0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0" fillId="3" borderId="0" xfId="0" applyFont="1" applyFill="1" applyAlignment="1">
      <alignment horizontal="left" vertical="center"/>
    </xf>
    <xf numFmtId="0" fontId="50" fillId="3" borderId="0" xfId="0" applyFont="1" applyFill="1" applyAlignment="1">
      <alignment horizontal="left" vertical="center" wrapText="1"/>
    </xf>
    <xf numFmtId="0" fontId="50" fillId="0" borderId="0" xfId="0" applyFont="1" applyAlignment="1">
      <alignment vertical="center" wrapText="1"/>
    </xf>
    <xf numFmtId="0" fontId="51" fillId="2" borderId="0" xfId="0" applyFont="1" applyFill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9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50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99" fillId="2" borderId="46" xfId="0" applyFont="1" applyFill="1" applyBorder="1" applyAlignment="1">
      <alignment horizontal="left" vertical="center"/>
    </xf>
    <xf numFmtId="0" fontId="50" fillId="2" borderId="46" xfId="0" applyFont="1" applyFill="1" applyBorder="1" applyAlignment="1">
      <alignment vertical="center"/>
    </xf>
    <xf numFmtId="0" fontId="50" fillId="2" borderId="0" xfId="0" applyFont="1" applyFill="1" applyAlignment="1">
      <alignment horizontal="left" vertical="center" wrapText="1"/>
    </xf>
    <xf numFmtId="0" fontId="52" fillId="2" borderId="0" xfId="0" applyFont="1" applyFill="1" applyAlignment="1">
      <alignment horizontal="center" vertical="center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0" fontId="102" fillId="2" borderId="0" xfId="0" applyFont="1" applyFill="1" applyAlignment="1">
      <alignment vertical="center"/>
    </xf>
    <xf numFmtId="0" fontId="48" fillId="2" borderId="50" xfId="0" applyFont="1" applyFill="1" applyBorder="1" applyAlignment="1">
      <alignment horizontal="center" vertical="center"/>
    </xf>
    <xf numFmtId="1" fontId="103" fillId="0" borderId="50" xfId="1" applyNumberFormat="1" applyFont="1" applyBorder="1" applyAlignment="1">
      <alignment horizontal="center" vertical="center" wrapText="1"/>
    </xf>
    <xf numFmtId="1" fontId="48" fillId="2" borderId="50" xfId="0" applyNumberFormat="1" applyFont="1" applyFill="1" applyBorder="1" applyAlignment="1">
      <alignment horizontal="center" vertical="center"/>
    </xf>
    <xf numFmtId="1" fontId="48" fillId="2" borderId="50" xfId="0" applyNumberFormat="1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horizontal="center" vertical="center" wrapText="1"/>
    </xf>
    <xf numFmtId="2" fontId="49" fillId="2" borderId="50" xfId="0" applyNumberFormat="1" applyFont="1" applyFill="1" applyBorder="1" applyAlignment="1">
      <alignment horizontal="center" vertical="center" wrapText="1"/>
    </xf>
    <xf numFmtId="165" fontId="49" fillId="2" borderId="50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1" fontId="104" fillId="2" borderId="50" xfId="0" applyNumberFormat="1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105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left" vertical="center"/>
    </xf>
    <xf numFmtId="1" fontId="49" fillId="2" borderId="51" xfId="0" applyNumberFormat="1" applyFont="1" applyFill="1" applyBorder="1" applyAlignment="1">
      <alignment vertical="center" wrapText="1"/>
    </xf>
    <xf numFmtId="0" fontId="49" fillId="2" borderId="48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horizontal="center" vertical="center" wrapText="1"/>
    </xf>
    <xf numFmtId="0" fontId="49" fillId="2" borderId="26" xfId="0" quotePrefix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6" fontId="49" fillId="2" borderId="0" xfId="0" applyNumberFormat="1" applyFont="1" applyFill="1" applyAlignment="1">
      <alignment horizontal="center" vertical="center"/>
    </xf>
    <xf numFmtId="0" fontId="49" fillId="2" borderId="0" xfId="0" quotePrefix="1" applyFont="1" applyFill="1" applyAlignment="1">
      <alignment horizontal="left" vertical="center"/>
    </xf>
    <xf numFmtId="166" fontId="48" fillId="2" borderId="0" xfId="0" applyNumberFormat="1" applyFont="1" applyFill="1" applyAlignment="1">
      <alignment horizontal="center" vertical="center"/>
    </xf>
    <xf numFmtId="0" fontId="106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vertical="center"/>
    </xf>
    <xf numFmtId="0" fontId="106" fillId="2" borderId="0" xfId="0" applyFont="1" applyFill="1" applyAlignment="1">
      <alignment vertical="center" wrapText="1"/>
    </xf>
    <xf numFmtId="12" fontId="26" fillId="0" borderId="50" xfId="0" quotePrefix="1" applyNumberFormat="1" applyFont="1" applyBorder="1" applyAlignment="1">
      <alignment horizontal="center" vertical="center" wrapText="1"/>
    </xf>
    <xf numFmtId="1" fontId="103" fillId="0" borderId="47" xfId="1" applyNumberFormat="1" applyFont="1" applyBorder="1" applyAlignment="1">
      <alignment horizontal="center" vertical="center" wrapText="1"/>
    </xf>
    <xf numFmtId="0" fontId="52" fillId="0" borderId="9" xfId="2" applyFont="1" applyBorder="1" applyAlignment="1">
      <alignment vertical="center" wrapText="1"/>
    </xf>
    <xf numFmtId="0" fontId="52" fillId="0" borderId="9" xfId="2" applyFont="1" applyBorder="1" applyAlignment="1">
      <alignment horizontal="center" vertical="center" wrapText="1"/>
    </xf>
    <xf numFmtId="0" fontId="51" fillId="0" borderId="43" xfId="2" applyFont="1" applyBorder="1" applyAlignment="1">
      <alignment horizontal="center" vertical="center" wrapText="1"/>
    </xf>
    <xf numFmtId="0" fontId="51" fillId="0" borderId="9" xfId="2" applyFont="1" applyBorder="1" applyAlignment="1">
      <alignment horizontal="center" vertical="center" wrapText="1"/>
    </xf>
    <xf numFmtId="0" fontId="53" fillId="0" borderId="1" xfId="0" quotePrefix="1" applyFont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1" fontId="51" fillId="2" borderId="50" xfId="0" applyNumberFormat="1" applyFont="1" applyFill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/>
    </xf>
    <xf numFmtId="165" fontId="51" fillId="0" borderId="50" xfId="0" applyNumberFormat="1" applyFont="1" applyBorder="1" applyAlignment="1">
      <alignment horizontal="center" vertical="center"/>
    </xf>
    <xf numFmtId="4" fontId="51" fillId="2" borderId="50" xfId="0" applyNumberFormat="1" applyFont="1" applyFill="1" applyBorder="1" applyAlignment="1">
      <alignment horizontal="center" vertical="center"/>
    </xf>
    <xf numFmtId="3" fontId="51" fillId="0" borderId="50" xfId="0" applyNumberFormat="1" applyFont="1" applyBorder="1" applyAlignment="1">
      <alignment horizontal="center" vertical="center"/>
    </xf>
    <xf numFmtId="0" fontId="110" fillId="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1" fontId="112" fillId="0" borderId="50" xfId="1" applyNumberFormat="1" applyFont="1" applyBorder="1" applyAlignment="1">
      <alignment horizontal="center" vertical="center" wrapText="1"/>
    </xf>
    <xf numFmtId="1" fontId="113" fillId="0" borderId="47" xfId="1" applyNumberFormat="1" applyFont="1" applyBorder="1" applyAlignment="1">
      <alignment vertical="center" wrapText="1"/>
    </xf>
    <xf numFmtId="1" fontId="29" fillId="2" borderId="50" xfId="0" applyNumberFormat="1" applyFont="1" applyFill="1" applyBorder="1" applyAlignment="1">
      <alignment horizontal="center" vertical="center"/>
    </xf>
    <xf numFmtId="165" fontId="29" fillId="2" borderId="50" xfId="0" applyNumberFormat="1" applyFont="1" applyFill="1" applyBorder="1" applyAlignment="1">
      <alignment horizontal="center" vertical="center"/>
    </xf>
    <xf numFmtId="1" fontId="26" fillId="2" borderId="50" xfId="0" applyNumberFormat="1" applyFont="1" applyFill="1" applyBorder="1" applyAlignment="1">
      <alignment horizontal="center" vertical="center"/>
    </xf>
    <xf numFmtId="1" fontId="113" fillId="0" borderId="50" xfId="1" applyNumberFormat="1" applyFont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50" fillId="2" borderId="46" xfId="0" applyFont="1" applyFill="1" applyBorder="1" applyAlignment="1" applyProtection="1">
      <alignment vertical="center"/>
      <protection hidden="1"/>
    </xf>
    <xf numFmtId="0" fontId="99" fillId="2" borderId="46" xfId="0" applyFont="1" applyFill="1" applyBorder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 wrapText="1"/>
    </xf>
    <xf numFmtId="164" fontId="50" fillId="2" borderId="46" xfId="0" quotePrefix="1" applyNumberFormat="1" applyFont="1" applyFill="1" applyBorder="1" applyAlignment="1">
      <alignment horizontal="left" vertical="center"/>
    </xf>
    <xf numFmtId="0" fontId="50" fillId="2" borderId="46" xfId="0" applyFont="1" applyFill="1" applyBorder="1" applyAlignment="1">
      <alignment horizontal="center" vertical="center" wrapText="1"/>
    </xf>
    <xf numFmtId="0" fontId="50" fillId="2" borderId="46" xfId="0" applyFont="1" applyFill="1" applyBorder="1" applyAlignment="1">
      <alignment horizontal="center" vertical="center"/>
    </xf>
    <xf numFmtId="0" fontId="50" fillId="2" borderId="46" xfId="0" applyFont="1" applyFill="1" applyBorder="1" applyAlignment="1">
      <alignment vertical="center" wrapText="1"/>
    </xf>
    <xf numFmtId="2" fontId="114" fillId="2" borderId="50" xfId="0" applyNumberFormat="1" applyFont="1" applyFill="1" applyBorder="1" applyAlignment="1">
      <alignment horizontal="center" vertical="center"/>
    </xf>
    <xf numFmtId="0" fontId="48" fillId="0" borderId="47" xfId="0" quotePrefix="1" applyFont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vertical="center" wrapText="1"/>
    </xf>
    <xf numFmtId="0" fontId="48" fillId="2" borderId="50" xfId="0" quotePrefix="1" applyFont="1" applyFill="1" applyBorder="1" applyAlignment="1">
      <alignment horizontal="left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0" fontId="49" fillId="0" borderId="50" xfId="0" applyFont="1" applyBorder="1" applyAlignment="1">
      <alignment horizontal="center" vertical="center"/>
    </xf>
    <xf numFmtId="165" fontId="49" fillId="0" borderId="50" xfId="0" applyNumberFormat="1" applyFont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70" fillId="0" borderId="0" xfId="0" quotePrefix="1" applyFont="1" applyAlignment="1">
      <alignment vertical="center" wrapText="1"/>
    </xf>
    <xf numFmtId="0" fontId="63" fillId="0" borderId="0" xfId="0" quotePrefix="1" applyFont="1" applyAlignment="1">
      <alignment vertical="center" wrapText="1"/>
    </xf>
    <xf numFmtId="0" fontId="70" fillId="0" borderId="0" xfId="0" applyFont="1" applyAlignment="1">
      <alignment vertical="center"/>
    </xf>
    <xf numFmtId="0" fontId="115" fillId="0" borderId="67" xfId="130" applyBorder="1" applyAlignment="1">
      <alignment horizontal="left" vertical="top" wrapText="1"/>
    </xf>
    <xf numFmtId="0" fontId="117" fillId="0" borderId="69" xfId="130" applyFont="1" applyBorder="1" applyAlignment="1">
      <alignment horizontal="center" vertical="center" wrapText="1"/>
    </xf>
    <xf numFmtId="0" fontId="119" fillId="0" borderId="70" xfId="130" applyFont="1" applyBorder="1" applyAlignment="1">
      <alignment horizontal="center" vertical="center" wrapText="1"/>
    </xf>
    <xf numFmtId="0" fontId="115" fillId="0" borderId="0" xfId="130" applyAlignment="1">
      <alignment horizontal="left" vertical="top"/>
    </xf>
    <xf numFmtId="0" fontId="115" fillId="0" borderId="0" xfId="130" applyAlignment="1">
      <alignment horizontal="left" vertical="top" wrapText="1"/>
    </xf>
    <xf numFmtId="0" fontId="120" fillId="0" borderId="70" xfId="130" applyFont="1" applyBorder="1" applyAlignment="1">
      <alignment horizontal="center" vertical="center" wrapText="1"/>
    </xf>
    <xf numFmtId="0" fontId="115" fillId="0" borderId="72" xfId="130" applyBorder="1" applyAlignment="1">
      <alignment horizontal="left" vertical="top" wrapText="1"/>
    </xf>
    <xf numFmtId="0" fontId="122" fillId="0" borderId="74" xfId="130" applyFont="1" applyBorder="1" applyAlignment="1">
      <alignment horizontal="center" vertical="top" wrapText="1"/>
    </xf>
    <xf numFmtId="0" fontId="123" fillId="0" borderId="75" xfId="130" applyFont="1" applyBorder="1" applyAlignment="1">
      <alignment horizontal="center" vertical="center" wrapText="1"/>
    </xf>
    <xf numFmtId="0" fontId="126" fillId="0" borderId="70" xfId="67" applyFont="1" applyBorder="1" applyAlignment="1">
      <alignment horizontal="left" wrapText="1"/>
    </xf>
    <xf numFmtId="0" fontId="126" fillId="0" borderId="50" xfId="67" applyFont="1" applyBorder="1" applyAlignment="1">
      <alignment horizontal="center" vertical="center" wrapText="1"/>
    </xf>
    <xf numFmtId="0" fontId="37" fillId="3" borderId="70" xfId="67" applyFont="1" applyFill="1" applyBorder="1" applyAlignment="1">
      <alignment horizontal="left" vertical="top" wrapText="1"/>
    </xf>
    <xf numFmtId="12" fontId="126" fillId="0" borderId="50" xfId="67" applyNumberFormat="1" applyFont="1" applyBorder="1" applyAlignment="1">
      <alignment horizontal="center" vertical="center" wrapText="1"/>
    </xf>
    <xf numFmtId="0" fontId="128" fillId="3" borderId="70" xfId="67" applyFont="1" applyFill="1" applyBorder="1" applyAlignment="1">
      <alignment horizontal="left" vertical="top" wrapText="1"/>
    </xf>
    <xf numFmtId="176" fontId="126" fillId="0" borderId="50" xfId="67" applyNumberFormat="1" applyFont="1" applyBorder="1" applyAlignment="1">
      <alignment horizontal="center" vertical="center" wrapText="1"/>
    </xf>
    <xf numFmtId="0" fontId="126" fillId="3" borderId="0" xfId="67" applyFont="1" applyFill="1" applyAlignment="1">
      <alignment horizontal="left" vertical="top"/>
    </xf>
    <xf numFmtId="0" fontId="126" fillId="3" borderId="70" xfId="67" applyFont="1" applyFill="1" applyBorder="1" applyAlignment="1">
      <alignment horizontal="left" wrapText="1"/>
    </xf>
    <xf numFmtId="177" fontId="126" fillId="0" borderId="50" xfId="67" applyNumberFormat="1" applyFont="1" applyBorder="1" applyAlignment="1">
      <alignment horizontal="center" vertical="center" wrapText="1"/>
    </xf>
    <xf numFmtId="0" fontId="115" fillId="0" borderId="0" xfId="130" applyAlignment="1">
      <alignment horizontal="center" vertical="center"/>
    </xf>
    <xf numFmtId="0" fontId="126" fillId="0" borderId="50" xfId="67" quotePrefix="1" applyFont="1" applyBorder="1" applyAlignment="1">
      <alignment horizontal="center" vertical="center" wrapText="1"/>
    </xf>
    <xf numFmtId="12" fontId="126" fillId="0" borderId="50" xfId="67" quotePrefix="1" applyNumberFormat="1" applyFont="1" applyBorder="1" applyAlignment="1">
      <alignment horizontal="center" vertical="center" wrapText="1"/>
    </xf>
    <xf numFmtId="176" fontId="126" fillId="0" borderId="50" xfId="67" quotePrefix="1" applyNumberFormat="1" applyFont="1" applyBorder="1" applyAlignment="1">
      <alignment horizontal="center" vertical="center" wrapText="1"/>
    </xf>
    <xf numFmtId="0" fontId="50" fillId="0" borderId="50" xfId="2" applyFont="1" applyBorder="1" applyAlignment="1">
      <alignment horizontal="center" vertical="center"/>
    </xf>
    <xf numFmtId="0" fontId="53" fillId="15" borderId="0" xfId="0" applyFont="1" applyFill="1" applyAlignment="1">
      <alignment horizontal="center" vertical="center"/>
    </xf>
    <xf numFmtId="0" fontId="53" fillId="3" borderId="0" xfId="0" applyFont="1" applyFill="1" applyAlignment="1">
      <alignment vertical="center"/>
    </xf>
    <xf numFmtId="1" fontId="53" fillId="15" borderId="0" xfId="0" applyNumberFormat="1" applyFont="1" applyFill="1" applyAlignment="1">
      <alignment vertical="center"/>
    </xf>
    <xf numFmtId="1" fontId="53" fillId="15" borderId="0" xfId="0" applyNumberFormat="1" applyFont="1" applyFill="1" applyAlignment="1">
      <alignment horizontal="center" vertical="center"/>
    </xf>
    <xf numFmtId="0" fontId="53" fillId="3" borderId="0" xfId="0" quotePrefix="1" applyFont="1" applyFill="1" applyAlignment="1">
      <alignment horizontal="center" vertical="center"/>
    </xf>
    <xf numFmtId="0" fontId="128" fillId="0" borderId="0" xfId="0" applyFont="1" applyAlignment="1">
      <alignment horizontal="left" vertical="center"/>
    </xf>
    <xf numFmtId="1" fontId="113" fillId="0" borderId="50" xfId="1" applyNumberFormat="1" applyFont="1" applyBorder="1" applyAlignment="1">
      <alignment vertical="center" wrapText="1"/>
    </xf>
    <xf numFmtId="0" fontId="129" fillId="0" borderId="50" xfId="131" applyBorder="1" applyAlignment="1" applyProtection="1">
      <alignment horizontal="left" vertical="center"/>
      <protection locked="0"/>
    </xf>
    <xf numFmtId="0" fontId="5" fillId="0" borderId="0" xfId="132" applyProtection="1"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7" xfId="131" applyFont="1" applyBorder="1" applyAlignment="1" applyProtection="1">
      <alignment horizontal="left" vertical="center"/>
      <protection locked="0"/>
    </xf>
    <xf numFmtId="0" fontId="131" fillId="0" borderId="0" xfId="131" applyFont="1" applyAlignment="1" applyProtection="1">
      <alignment horizontal="left" vertical="center"/>
      <protection locked="0"/>
    </xf>
    <xf numFmtId="0" fontId="131" fillId="0" borderId="0" xfId="132" applyFont="1" applyAlignment="1" applyProtection="1">
      <alignment horizontal="left"/>
      <protection locked="0"/>
    </xf>
    <xf numFmtId="0" fontId="5" fillId="0" borderId="0" xfId="132" applyAlignment="1" applyProtection="1">
      <alignment horizontal="left"/>
      <protection locked="0"/>
    </xf>
    <xf numFmtId="178" fontId="9" fillId="0" borderId="0" xfId="132" applyNumberFormat="1" applyFont="1" applyProtection="1">
      <protection locked="0"/>
    </xf>
    <xf numFmtId="0" fontId="132" fillId="0" borderId="0" xfId="132" applyFont="1" applyProtection="1">
      <protection locked="0"/>
    </xf>
    <xf numFmtId="0" fontId="129" fillId="3" borderId="57" xfId="132" applyFont="1" applyFill="1" applyBorder="1" applyProtection="1">
      <protection locked="0"/>
    </xf>
    <xf numFmtId="0" fontId="5" fillId="3" borderId="0" xfId="132" applyFill="1" applyProtection="1">
      <protection locked="0"/>
    </xf>
    <xf numFmtId="178" fontId="7" fillId="0" borderId="0" xfId="132" applyNumberFormat="1" applyFont="1" applyAlignment="1" applyProtection="1">
      <alignment horizontal="center"/>
      <protection locked="0"/>
    </xf>
    <xf numFmtId="12" fontId="48" fillId="0" borderId="0" xfId="0" quotePrefix="1" applyNumberFormat="1" applyFont="1" applyAlignment="1">
      <alignment vertical="center" wrapText="1"/>
    </xf>
    <xf numFmtId="12" fontId="48" fillId="0" borderId="0" xfId="0" quotePrefix="1" applyNumberFormat="1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129" fillId="0" borderId="50" xfId="131" applyBorder="1" applyAlignment="1" applyProtection="1">
      <alignment vertical="center"/>
      <protection locked="0"/>
    </xf>
    <xf numFmtId="0" fontId="131" fillId="0" borderId="50" xfId="132" applyFont="1" applyBorder="1" applyProtection="1">
      <protection locked="0"/>
    </xf>
    <xf numFmtId="0" fontId="5" fillId="0" borderId="50" xfId="132" applyBorder="1" applyProtection="1">
      <protection locked="0"/>
    </xf>
    <xf numFmtId="49" fontId="133" fillId="0" borderId="50" xfId="132" applyNumberFormat="1" applyFont="1" applyBorder="1" applyAlignment="1" applyProtection="1">
      <alignment horizontal="left" vertical="center" wrapText="1"/>
      <protection locked="0"/>
    </xf>
    <xf numFmtId="0" fontId="133" fillId="0" borderId="49" xfId="132" applyFont="1" applyBorder="1" applyAlignment="1" applyProtection="1">
      <alignment horizontal="left" vertical="center" wrapText="1"/>
      <protection locked="0"/>
    </xf>
    <xf numFmtId="0" fontId="133" fillId="0" borderId="50" xfId="132" applyFont="1" applyBorder="1" applyAlignment="1" applyProtection="1">
      <alignment horizontal="left" vertical="center" wrapText="1"/>
      <protection locked="0"/>
    </xf>
    <xf numFmtId="165" fontId="133" fillId="0" borderId="50" xfId="132" applyNumberFormat="1" applyFont="1" applyBorder="1" applyAlignment="1" applyProtection="1">
      <alignment horizontal="center" vertical="center" wrapText="1"/>
      <protection locked="0"/>
    </xf>
    <xf numFmtId="165" fontId="134" fillId="49" borderId="50" xfId="132" applyNumberFormat="1" applyFont="1" applyFill="1" applyBorder="1" applyAlignment="1" applyProtection="1">
      <alignment horizontal="center" vertical="center" wrapText="1"/>
      <protection locked="0"/>
    </xf>
    <xf numFmtId="165" fontId="133" fillId="50" borderId="50" xfId="132" applyNumberFormat="1" applyFont="1" applyFill="1" applyBorder="1" applyAlignment="1" applyProtection="1">
      <alignment horizontal="center" vertical="center" wrapText="1"/>
    </xf>
    <xf numFmtId="0" fontId="135" fillId="49" borderId="50" xfId="132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vertical="center" wrapText="1"/>
    </xf>
    <xf numFmtId="0" fontId="136" fillId="5" borderId="50" xfId="132" applyFont="1" applyFill="1" applyBorder="1" applyAlignment="1" applyProtection="1">
      <alignment horizontal="left" vertical="center"/>
      <protection locked="0"/>
    </xf>
    <xf numFmtId="49" fontId="137" fillId="5" borderId="49" xfId="133" applyNumberFormat="1" applyFont="1" applyFill="1" applyBorder="1" applyAlignment="1" applyProtection="1">
      <alignment horizontal="left" vertical="center" wrapText="1"/>
      <protection locked="0"/>
    </xf>
    <xf numFmtId="0" fontId="136" fillId="5" borderId="50" xfId="132" applyFont="1" applyFill="1" applyBorder="1" applyAlignment="1" applyProtection="1">
      <alignment horizontal="center" vertical="center"/>
      <protection locked="0"/>
    </xf>
    <xf numFmtId="0" fontId="137" fillId="5" borderId="50" xfId="132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165" fontId="135" fillId="49" borderId="50" xfId="132" applyNumberFormat="1" applyFont="1" applyFill="1" applyBorder="1" applyAlignment="1" applyProtection="1">
      <alignment horizontal="center" vertical="center" wrapText="1"/>
      <protection locked="0"/>
    </xf>
    <xf numFmtId="0" fontId="0" fillId="47" borderId="0" xfId="0" applyFill="1" applyAlignment="1">
      <alignment vertical="center" wrapText="1"/>
    </xf>
    <xf numFmtId="178" fontId="138" fillId="47" borderId="0" xfId="132" applyNumberFormat="1" applyFont="1" applyFill="1" applyProtection="1">
      <protection locked="0"/>
    </xf>
    <xf numFmtId="165" fontId="134" fillId="10" borderId="50" xfId="132" applyNumberFormat="1" applyFont="1" applyFill="1" applyBorder="1" applyAlignment="1" applyProtection="1">
      <alignment horizontal="center" vertical="center" wrapText="1"/>
      <protection locked="0"/>
    </xf>
    <xf numFmtId="165" fontId="133" fillId="10" borderId="50" xfId="132" applyNumberFormat="1" applyFont="1" applyFill="1" applyBorder="1" applyAlignment="1" applyProtection="1">
      <alignment horizontal="center" vertical="center" wrapText="1"/>
    </xf>
    <xf numFmtId="165" fontId="135" fillId="10" borderId="50" xfId="13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0" fillId="10" borderId="0" xfId="0" applyFill="1" applyAlignment="1">
      <alignment vertical="center" wrapText="1"/>
    </xf>
    <xf numFmtId="0" fontId="133" fillId="10" borderId="45" xfId="132" applyFont="1" applyFill="1" applyBorder="1" applyAlignment="1" applyProtection="1">
      <alignment horizontal="left" vertical="center" wrapText="1"/>
      <protection locked="0"/>
    </xf>
    <xf numFmtId="0" fontId="0" fillId="10" borderId="0" xfId="0" applyFill="1"/>
    <xf numFmtId="165" fontId="133" fillId="10" borderId="50" xfId="132" applyNumberFormat="1" applyFont="1" applyFill="1" applyBorder="1" applyAlignment="1" applyProtection="1">
      <alignment horizontal="center" vertical="center" wrapText="1"/>
      <protection locked="0"/>
    </xf>
    <xf numFmtId="0" fontId="133" fillId="10" borderId="50" xfId="132" applyFont="1" applyFill="1" applyBorder="1" applyAlignment="1" applyProtection="1">
      <alignment horizontal="center" vertical="center" wrapText="1"/>
      <protection locked="0"/>
    </xf>
    <xf numFmtId="165" fontId="133" fillId="47" borderId="50" xfId="132" applyNumberFormat="1" applyFont="1" applyFill="1" applyBorder="1" applyAlignment="1" applyProtection="1">
      <alignment horizontal="center" vertical="center" wrapText="1"/>
    </xf>
    <xf numFmtId="165" fontId="134" fillId="47" borderId="50" xfId="132" applyNumberFormat="1" applyFont="1" applyFill="1" applyBorder="1" applyAlignment="1" applyProtection="1">
      <alignment horizontal="center" vertical="center" wrapText="1"/>
      <protection locked="0"/>
    </xf>
    <xf numFmtId="165" fontId="135" fillId="47" borderId="50" xfId="132" applyNumberFormat="1" applyFont="1" applyFill="1" applyBorder="1" applyAlignment="1" applyProtection="1">
      <alignment horizontal="center" vertical="center" wrapText="1"/>
      <protection locked="0"/>
    </xf>
    <xf numFmtId="0" fontId="133" fillId="47" borderId="45" xfId="132" applyFont="1" applyFill="1" applyBorder="1" applyAlignment="1" applyProtection="1">
      <alignment horizontal="left" vertical="center" wrapText="1"/>
      <protection locked="0"/>
    </xf>
    <xf numFmtId="0" fontId="129" fillId="0" borderId="0" xfId="131" applyAlignment="1" applyProtection="1">
      <alignment vertical="center"/>
      <protection locked="0"/>
    </xf>
    <xf numFmtId="0" fontId="136" fillId="10" borderId="50" xfId="132" applyFont="1" applyFill="1" applyBorder="1" applyAlignment="1" applyProtection="1">
      <alignment horizontal="center" vertical="center"/>
      <protection locked="0"/>
    </xf>
    <xf numFmtId="0" fontId="139" fillId="10" borderId="50" xfId="0" applyFont="1" applyFill="1" applyBorder="1" applyAlignment="1">
      <alignment horizontal="center" vertical="center"/>
    </xf>
    <xf numFmtId="0" fontId="140" fillId="10" borderId="50" xfId="0" applyFont="1" applyFill="1" applyBorder="1" applyAlignment="1">
      <alignment vertical="center" wrapText="1"/>
    </xf>
    <xf numFmtId="165" fontId="133" fillId="0" borderId="50" xfId="132" applyNumberFormat="1" applyFont="1" applyBorder="1" applyAlignment="1" applyProtection="1">
      <alignment horizontal="center" vertical="center" wrapText="1"/>
    </xf>
    <xf numFmtId="0" fontId="133" fillId="0" borderId="50" xfId="132" applyFont="1" applyBorder="1" applyAlignment="1" applyProtection="1">
      <alignment horizontal="center" vertical="center" wrapText="1"/>
      <protection locked="0"/>
    </xf>
    <xf numFmtId="0" fontId="136" fillId="0" borderId="50" xfId="132" applyFont="1" applyBorder="1" applyAlignment="1" applyProtection="1">
      <alignment horizontal="center" vertical="center"/>
      <protection locked="0"/>
    </xf>
    <xf numFmtId="0" fontId="139" fillId="0" borderId="50" xfId="0" applyFont="1" applyBorder="1" applyAlignment="1">
      <alignment horizontal="center" vertical="center"/>
    </xf>
    <xf numFmtId="165" fontId="133" fillId="47" borderId="50" xfId="132" applyNumberFormat="1" applyFont="1" applyFill="1" applyBorder="1" applyAlignment="1" applyProtection="1">
      <alignment horizontal="center" vertical="center" wrapText="1"/>
      <protection locked="0"/>
    </xf>
    <xf numFmtId="49" fontId="133" fillId="0" borderId="50" xfId="132" applyNumberFormat="1" applyFont="1" applyBorder="1" applyAlignment="1" applyProtection="1">
      <alignment horizontal="left" vertical="center" wrapText="1"/>
      <protection locked="0"/>
    </xf>
    <xf numFmtId="0" fontId="133" fillId="0" borderId="51" xfId="132" applyFont="1" applyBorder="1" applyAlignment="1" applyProtection="1">
      <alignment horizontal="left" vertical="center" wrapText="1"/>
      <protection locked="0"/>
    </xf>
    <xf numFmtId="0" fontId="133" fillId="0" borderId="48" xfId="132" applyFont="1" applyBorder="1" applyAlignment="1" applyProtection="1">
      <alignment horizontal="left" vertical="center" wrapText="1"/>
      <protection locked="0"/>
    </xf>
    <xf numFmtId="0" fontId="133" fillId="0" borderId="49" xfId="132" applyFont="1" applyBorder="1" applyAlignment="1" applyProtection="1">
      <alignment horizontal="left" vertical="center" wrapText="1"/>
      <protection locked="0"/>
    </xf>
    <xf numFmtId="49" fontId="137" fillId="5" borderId="50" xfId="133" applyNumberFormat="1" applyFont="1" applyFill="1" applyBorder="1" applyAlignment="1" applyProtection="1">
      <alignment horizontal="left" vertical="center" wrapText="1"/>
      <protection locked="0"/>
    </xf>
    <xf numFmtId="49" fontId="137" fillId="5" borderId="51" xfId="133" applyNumberFormat="1" applyFont="1" applyFill="1" applyBorder="1" applyAlignment="1" applyProtection="1">
      <alignment horizontal="left" vertical="center" wrapText="1"/>
      <protection locked="0"/>
    </xf>
    <xf numFmtId="49" fontId="137" fillId="5" borderId="48" xfId="133" applyNumberFormat="1" applyFont="1" applyFill="1" applyBorder="1" applyAlignment="1" applyProtection="1">
      <alignment horizontal="left" vertical="center" wrapText="1"/>
      <protection locked="0"/>
    </xf>
    <xf numFmtId="49" fontId="137" fillId="5" borderId="49" xfId="133" applyNumberFormat="1" applyFont="1" applyFill="1" applyBorder="1" applyAlignment="1" applyProtection="1">
      <alignment horizontal="left" vertical="center" wrapText="1"/>
      <protection locked="0"/>
    </xf>
    <xf numFmtId="0" fontId="129" fillId="0" borderId="50" xfId="131" applyBorder="1" applyAlignment="1" applyProtection="1">
      <alignment horizontal="left" vertical="center"/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0" xfId="132" applyFont="1" applyBorder="1" applyAlignment="1" applyProtection="1">
      <alignment horizontal="left"/>
      <protection locked="0"/>
    </xf>
    <xf numFmtId="0" fontId="129" fillId="3" borderId="50" xfId="132" applyFont="1" applyFill="1" applyBorder="1" applyAlignment="1" applyProtection="1">
      <alignment horizontal="left" vertical="center"/>
      <protection locked="0"/>
    </xf>
    <xf numFmtId="178" fontId="7" fillId="49" borderId="50" xfId="132" applyNumberFormat="1" applyFont="1" applyFill="1" applyBorder="1" applyAlignment="1" applyProtection="1">
      <alignment horizontal="center"/>
      <protection locked="0"/>
    </xf>
    <xf numFmtId="0" fontId="32" fillId="5" borderId="12" xfId="0" applyFont="1" applyFill="1" applyBorder="1" applyAlignment="1">
      <alignment horizontal="center" vertical="center"/>
    </xf>
    <xf numFmtId="0" fontId="32" fillId="5" borderId="15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left" vertical="center" wrapText="1"/>
    </xf>
    <xf numFmtId="0" fontId="48" fillId="0" borderId="51" xfId="0" applyFont="1" applyBorder="1" applyAlignment="1">
      <alignment horizontal="center" vertical="center" wrapText="1"/>
    </xf>
    <xf numFmtId="0" fontId="48" fillId="0" borderId="48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left" vertical="center" wrapText="1"/>
    </xf>
    <xf numFmtId="0" fontId="49" fillId="2" borderId="51" xfId="0" quotePrefix="1" applyFont="1" applyFill="1" applyBorder="1" applyAlignment="1">
      <alignment horizontal="center" vertical="center" wrapText="1"/>
    </xf>
    <xf numFmtId="0" fontId="49" fillId="2" borderId="48" xfId="0" quotePrefix="1" applyFont="1" applyFill="1" applyBorder="1" applyAlignment="1">
      <alignment horizontal="center" vertical="center" wrapText="1"/>
    </xf>
    <xf numFmtId="0" fontId="49" fillId="2" borderId="49" xfId="0" quotePrefix="1" applyFont="1" applyFill="1" applyBorder="1" applyAlignment="1">
      <alignment horizontal="center" vertical="center" wrapText="1"/>
    </xf>
    <xf numFmtId="0" fontId="48" fillId="3" borderId="51" xfId="0" applyFont="1" applyFill="1" applyBorder="1" applyAlignment="1">
      <alignment horizontal="center" vertical="center" wrapText="1"/>
    </xf>
    <xf numFmtId="0" fontId="48" fillId="3" borderId="48" xfId="0" applyFont="1" applyFill="1" applyBorder="1" applyAlignment="1">
      <alignment horizontal="center" vertical="center" wrapText="1"/>
    </xf>
    <xf numFmtId="0" fontId="48" fillId="3" borderId="25" xfId="0" applyFont="1" applyFill="1" applyBorder="1" applyAlignment="1">
      <alignment horizontal="center" vertical="center" wrapText="1"/>
    </xf>
    <xf numFmtId="0" fontId="48" fillId="3" borderId="26" xfId="0" applyFont="1" applyFill="1" applyBorder="1" applyAlignment="1">
      <alignment horizontal="center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49" fillId="2" borderId="49" xfId="0" applyFont="1" applyFill="1" applyBorder="1" applyAlignment="1">
      <alignment horizontal="center" vertical="center" wrapText="1"/>
    </xf>
    <xf numFmtId="0" fontId="48" fillId="0" borderId="51" xfId="0" applyFont="1" applyBorder="1" applyAlignment="1">
      <alignment horizontal="center" vertical="center"/>
    </xf>
    <xf numFmtId="0" fontId="48" fillId="0" borderId="49" xfId="0" applyFont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 wrapText="1"/>
    </xf>
    <xf numFmtId="1" fontId="29" fillId="2" borderId="51" xfId="0" applyNumberFormat="1" applyFont="1" applyFill="1" applyBorder="1" applyAlignment="1">
      <alignment horizontal="center" vertical="center" wrapText="1"/>
    </xf>
    <xf numFmtId="1" fontId="29" fillId="2" borderId="49" xfId="0" applyNumberFormat="1" applyFont="1" applyFill="1" applyBorder="1" applyAlignment="1">
      <alignment horizontal="center" vertical="center" wrapText="1"/>
    </xf>
    <xf numFmtId="1" fontId="26" fillId="2" borderId="51" xfId="0" applyNumberFormat="1" applyFont="1" applyFill="1" applyBorder="1" applyAlignment="1">
      <alignment horizontal="center" vertical="center"/>
    </xf>
    <xf numFmtId="1" fontId="26" fillId="2" borderId="49" xfId="0" applyNumberFormat="1" applyFont="1" applyFill="1" applyBorder="1" applyAlignment="1">
      <alignment horizontal="center" vertical="center"/>
    </xf>
    <xf numFmtId="0" fontId="107" fillId="11" borderId="50" xfId="0" applyFont="1" applyFill="1" applyBorder="1" applyAlignment="1">
      <alignment horizontal="center" vertical="center"/>
    </xf>
    <xf numFmtId="0" fontId="50" fillId="3" borderId="0" xfId="0" applyFont="1" applyFill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50" fillId="2" borderId="46" xfId="0" quotePrefix="1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0" fontId="108" fillId="0" borderId="50" xfId="0" applyFont="1" applyBorder="1" applyAlignment="1">
      <alignment horizontal="center" vertical="center"/>
    </xf>
    <xf numFmtId="0" fontId="108" fillId="0" borderId="50" xfId="0" quotePrefix="1" applyFont="1" applyBorder="1" applyAlignment="1">
      <alignment horizontal="center" vertical="center"/>
    </xf>
    <xf numFmtId="16" fontId="108" fillId="0" borderId="50" xfId="0" quotePrefix="1" applyNumberFormat="1" applyFont="1" applyBorder="1" applyAlignment="1">
      <alignment horizontal="center" vertical="center"/>
    </xf>
    <xf numFmtId="0" fontId="50" fillId="2" borderId="46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1" fontId="109" fillId="0" borderId="50" xfId="0" applyNumberFormat="1" applyFont="1" applyBorder="1" applyAlignment="1">
      <alignment horizontal="center" vertical="center" wrapText="1"/>
    </xf>
    <xf numFmtId="0" fontId="100" fillId="2" borderId="0" xfId="0" applyFont="1" applyFill="1" applyAlignment="1">
      <alignment horizontal="left" vertical="center"/>
    </xf>
    <xf numFmtId="0" fontId="48" fillId="3" borderId="4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125" fillId="0" borderId="69" xfId="130" applyFont="1" applyBorder="1" applyAlignment="1">
      <alignment horizontal="left" vertical="top" wrapText="1"/>
    </xf>
    <xf numFmtId="0" fontId="124" fillId="0" borderId="74" xfId="130" applyFont="1" applyBorder="1" applyAlignment="1">
      <alignment horizontal="left" vertical="top" wrapText="1"/>
    </xf>
    <xf numFmtId="0" fontId="116" fillId="0" borderId="67" xfId="130" applyFont="1" applyBorder="1" applyAlignment="1">
      <alignment horizontal="left" vertical="top" wrapText="1"/>
    </xf>
    <xf numFmtId="0" fontId="116" fillId="0" borderId="68" xfId="130" applyFont="1" applyBorder="1" applyAlignment="1">
      <alignment horizontal="left" vertical="top" wrapText="1"/>
    </xf>
    <xf numFmtId="0" fontId="116" fillId="0" borderId="0" xfId="130" applyFont="1" applyAlignment="1">
      <alignment horizontal="left" vertical="top" wrapText="1"/>
    </xf>
    <xf numFmtId="0" fontId="116" fillId="0" borderId="71" xfId="130" applyFont="1" applyBorder="1" applyAlignment="1">
      <alignment horizontal="left" vertical="top" wrapText="1"/>
    </xf>
    <xf numFmtId="0" fontId="116" fillId="0" borderId="72" xfId="130" applyFont="1" applyBorder="1" applyAlignment="1">
      <alignment horizontal="left" vertical="top" wrapText="1"/>
    </xf>
    <xf numFmtId="0" fontId="116" fillId="0" borderId="73" xfId="130" applyFont="1" applyBorder="1" applyAlignment="1">
      <alignment horizontal="left" vertical="top" wrapText="1"/>
    </xf>
    <xf numFmtId="0" fontId="115" fillId="48" borderId="69" xfId="130" applyFill="1" applyBorder="1" applyAlignment="1">
      <alignment horizontal="center" vertical="center" wrapText="1"/>
    </xf>
    <xf numFmtId="0" fontId="115" fillId="48" borderId="70" xfId="130" applyFill="1" applyBorder="1" applyAlignment="1">
      <alignment horizontal="center" vertical="center" wrapText="1"/>
    </xf>
    <xf numFmtId="0" fontId="121" fillId="0" borderId="69" xfId="130" applyFont="1" applyBorder="1" applyAlignment="1">
      <alignment horizontal="center" vertical="top" wrapText="1"/>
    </xf>
    <xf numFmtId="0" fontId="121" fillId="0" borderId="74" xfId="130" applyFont="1" applyBorder="1" applyAlignment="1">
      <alignment horizontal="center" vertical="top" wrapText="1"/>
    </xf>
    <xf numFmtId="0" fontId="124" fillId="0" borderId="69" xfId="130" applyFont="1" applyBorder="1" applyAlignment="1">
      <alignment horizontal="left" vertical="top" wrapText="1"/>
    </xf>
    <xf numFmtId="0" fontId="125" fillId="3" borderId="69" xfId="130" applyFont="1" applyFill="1" applyBorder="1" applyAlignment="1">
      <alignment horizontal="left" vertical="top" wrapText="1"/>
    </xf>
    <xf numFmtId="0" fontId="125" fillId="3" borderId="74" xfId="130" applyFont="1" applyFill="1" applyBorder="1" applyAlignment="1">
      <alignment horizontal="left" vertical="top" wrapText="1"/>
    </xf>
    <xf numFmtId="0" fontId="124" fillId="3" borderId="74" xfId="130" applyFont="1" applyFill="1" applyBorder="1" applyAlignment="1">
      <alignment horizontal="left" vertical="top" wrapText="1"/>
    </xf>
    <xf numFmtId="0" fontId="124" fillId="3" borderId="69" xfId="130" applyFont="1" applyFill="1" applyBorder="1" applyAlignment="1">
      <alignment horizontal="left" vertical="top" wrapText="1"/>
    </xf>
    <xf numFmtId="0" fontId="125" fillId="0" borderId="74" xfId="130" applyFont="1" applyBorder="1" applyAlignment="1">
      <alignment horizontal="left" vertical="top" wrapText="1"/>
    </xf>
    <xf numFmtId="0" fontId="49" fillId="2" borderId="48" xfId="0" applyFont="1" applyFill="1" applyBorder="1" applyAlignment="1">
      <alignment horizontal="center" vertical="center" wrapText="1"/>
    </xf>
    <xf numFmtId="1" fontId="49" fillId="0" borderId="51" xfId="1" applyNumberFormat="1" applyFont="1" applyBorder="1" applyAlignment="1">
      <alignment horizontal="center" vertical="center" wrapText="1"/>
    </xf>
    <xf numFmtId="1" fontId="49" fillId="0" borderId="49" xfId="1" applyNumberFormat="1" applyFont="1" applyBorder="1" applyAlignment="1">
      <alignment horizontal="center" vertical="center" wrapText="1"/>
    </xf>
    <xf numFmtId="0" fontId="48" fillId="2" borderId="51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48" fillId="2" borderId="51" xfId="0" quotePrefix="1" applyFont="1" applyFill="1" applyBorder="1" applyAlignment="1">
      <alignment horizontal="center" vertical="center" wrapText="1"/>
    </xf>
    <xf numFmtId="0" fontId="48" fillId="2" borderId="48" xfId="0" quotePrefix="1" applyFont="1" applyFill="1" applyBorder="1" applyAlignment="1">
      <alignment horizontal="center" vertical="center" wrapText="1"/>
    </xf>
    <xf numFmtId="0" fontId="48" fillId="2" borderId="49" xfId="0" quotePrefix="1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/>
    </xf>
    <xf numFmtId="0" fontId="29" fillId="9" borderId="50" xfId="0" applyFont="1" applyFill="1" applyBorder="1" applyAlignment="1">
      <alignment horizontal="left" vertical="center" wrapText="1"/>
    </xf>
    <xf numFmtId="0" fontId="48" fillId="2" borderId="0" xfId="0" applyFont="1" applyFill="1" applyAlignment="1">
      <alignment horizontal="left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50B529BC-A770-4D6F-97F5-0C69495CA9A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3" xfId="134" xr:uid="{3695B98C-EEB3-4F67-9123-76598A436FB9}"/>
    <cellStyle name="Normal 2 4" xfId="68" xr:uid="{58005942-99CA-4ADE-8B6F-C6901138360D}"/>
    <cellStyle name="Normal 2 4 2" xfId="129" xr:uid="{E984C1DF-966D-4D3F-B90D-3F3E671697D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7 2" xfId="128" xr:uid="{4151F962-F75D-4951-A7F1-7E0561E2A62D}"/>
    <cellStyle name="Normal 8" xfId="70" xr:uid="{E08A0B46-D695-4CD6-A4FC-3B52A5F6588E}"/>
    <cellStyle name="Normal 9" xfId="130" xr:uid="{B244C523-DFB4-48BD-909D-82A4B0513E76}"/>
    <cellStyle name="Normal_Formatting Working Copy 2 2" xfId="132" xr:uid="{0F1C0E81-F552-473A-B389-9715DC9EEC4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itle 2" xfId="131" xr:uid="{BE7DEBE2-CE4E-4A7F-BECB-20D2241B6DC0}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8"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0.emf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29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9.emf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881063</xdr:colOff>
      <xdr:row>3</xdr:row>
      <xdr:rowOff>404811</xdr:rowOff>
    </xdr:from>
    <xdr:to>
      <xdr:col>16</xdr:col>
      <xdr:colOff>2005012</xdr:colOff>
      <xdr:row>8</xdr:row>
      <xdr:rowOff>183781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7D6C92-362C-9595-4E43-2E17C9F3C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55063" y="1762124"/>
          <a:ext cx="6219824" cy="3446095"/>
        </a:xfrm>
        <a:prstGeom prst="rect">
          <a:avLst/>
        </a:prstGeom>
      </xdr:spPr>
    </xdr:pic>
    <xdr:clientData/>
  </xdr:twoCellAnchor>
  <xdr:twoCellAnchor editAs="oneCell">
    <xdr:from>
      <xdr:col>9</xdr:col>
      <xdr:colOff>928688</xdr:colOff>
      <xdr:row>40</xdr:row>
      <xdr:rowOff>452438</xdr:rowOff>
    </xdr:from>
    <xdr:to>
      <xdr:col>16</xdr:col>
      <xdr:colOff>1978122</xdr:colOff>
      <xdr:row>46</xdr:row>
      <xdr:rowOff>428625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576FF-9D91-BF12-1A2D-431725F6C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16376" y="42481501"/>
          <a:ext cx="10931621" cy="4381499"/>
        </a:xfrm>
        <a:prstGeom prst="rect">
          <a:avLst/>
        </a:prstGeom>
      </xdr:spPr>
    </xdr:pic>
    <xdr:clientData/>
  </xdr:twoCellAnchor>
  <xdr:twoCellAnchor editAs="oneCell">
    <xdr:from>
      <xdr:col>9</xdr:col>
      <xdr:colOff>881062</xdr:colOff>
      <xdr:row>47</xdr:row>
      <xdr:rowOff>666750</xdr:rowOff>
    </xdr:from>
    <xdr:to>
      <xdr:col>16</xdr:col>
      <xdr:colOff>1166812</xdr:colOff>
      <xdr:row>52</xdr:row>
      <xdr:rowOff>334902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C96EFB-6057-9B5C-92AD-2200C0E3F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8750" y="47720250"/>
          <a:ext cx="10167937" cy="3930590"/>
        </a:xfrm>
        <a:prstGeom prst="rect">
          <a:avLst/>
        </a:prstGeom>
      </xdr:spPr>
    </xdr:pic>
    <xdr:clientData/>
  </xdr:twoCellAnchor>
  <xdr:twoCellAnchor editAs="oneCell">
    <xdr:from>
      <xdr:col>9</xdr:col>
      <xdr:colOff>1381126</xdr:colOff>
      <xdr:row>54</xdr:row>
      <xdr:rowOff>595313</xdr:rowOff>
    </xdr:from>
    <xdr:to>
      <xdr:col>16</xdr:col>
      <xdr:colOff>2066761</xdr:colOff>
      <xdr:row>62</xdr:row>
      <xdr:rowOff>119062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810D40-F9F7-0029-232D-399E018F4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68814" y="53006626"/>
          <a:ext cx="10567822" cy="5357811"/>
        </a:xfrm>
        <a:prstGeom prst="rect">
          <a:avLst/>
        </a:prstGeom>
      </xdr:spPr>
    </xdr:pic>
    <xdr:clientData/>
  </xdr:twoCellAnchor>
  <xdr:twoCellAnchor editAs="oneCell">
    <xdr:from>
      <xdr:col>10</xdr:col>
      <xdr:colOff>1285875</xdr:colOff>
      <xdr:row>63</xdr:row>
      <xdr:rowOff>809625</xdr:rowOff>
    </xdr:from>
    <xdr:to>
      <xdr:col>16</xdr:col>
      <xdr:colOff>2213191</xdr:colOff>
      <xdr:row>68</xdr:row>
      <xdr:rowOff>833437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69DE30-715C-FEF7-1334-403FA01DA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0" y="61079063"/>
          <a:ext cx="8928316" cy="5548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11125201</xdr:colOff>
      <xdr:row>0</xdr:row>
      <xdr:rowOff>1219200</xdr:rowOff>
    </xdr:from>
    <xdr:to>
      <xdr:col>1</xdr:col>
      <xdr:colOff>14478001</xdr:colOff>
      <xdr:row>3</xdr:row>
      <xdr:rowOff>373143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2E67C7-2ADD-8248-4202-C0C43A95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92701" y="1219200"/>
          <a:ext cx="3352800" cy="1859043"/>
        </a:xfrm>
        <a:prstGeom prst="rect">
          <a:avLst/>
        </a:prstGeom>
      </xdr:spPr>
    </xdr:pic>
    <xdr:clientData/>
  </xdr:twoCellAnchor>
  <xdr:twoCellAnchor editAs="oneCell">
    <xdr:from>
      <xdr:col>1</xdr:col>
      <xdr:colOff>5562600</xdr:colOff>
      <xdr:row>23</xdr:row>
      <xdr:rowOff>571500</xdr:rowOff>
    </xdr:from>
    <xdr:to>
      <xdr:col>1</xdr:col>
      <xdr:colOff>8572920</xdr:colOff>
      <xdr:row>23</xdr:row>
      <xdr:rowOff>2953082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F3B7F3-6ACF-F94D-C6C2-8231D27D5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30100" y="49491900"/>
          <a:ext cx="3010320" cy="23815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4</xdr:row>
      <xdr:rowOff>9525</xdr:rowOff>
    </xdr:from>
    <xdr:to>
      <xdr:col>5</xdr:col>
      <xdr:colOff>2628974</xdr:colOff>
      <xdr:row>28</xdr:row>
      <xdr:rowOff>448374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972B0-4C12-D638-5126-9C7D7DE05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5" y="771525"/>
          <a:ext cx="6505649" cy="5010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8</xdr:col>
      <xdr:colOff>400784</xdr:colOff>
      <xdr:row>21</xdr:row>
      <xdr:rowOff>181556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A38DE-C9A2-6BD0-4178-FBB9C81C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9050"/>
          <a:ext cx="5258534" cy="4163006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4</xdr:row>
      <xdr:rowOff>44296</xdr:rowOff>
    </xdr:from>
    <xdr:to>
      <xdr:col>15</xdr:col>
      <xdr:colOff>600075</xdr:colOff>
      <xdr:row>19</xdr:row>
      <xdr:rowOff>180615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887CAE-1934-AEA2-836F-040C0300B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5825" y="806296"/>
          <a:ext cx="5048250" cy="29938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1238250</xdr:colOff>
      <xdr:row>45</xdr:row>
      <xdr:rowOff>404812</xdr:rowOff>
    </xdr:from>
    <xdr:to>
      <xdr:col>16</xdr:col>
      <xdr:colOff>2405062</xdr:colOff>
      <xdr:row>50</xdr:row>
      <xdr:rowOff>500062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F2F41-0ED5-4197-A9CB-D71BC69D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7100" y="44791312"/>
          <a:ext cx="9882187" cy="46386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1023938</xdr:colOff>
      <xdr:row>3</xdr:row>
      <xdr:rowOff>285750</xdr:rowOff>
    </xdr:from>
    <xdr:to>
      <xdr:col>16</xdr:col>
      <xdr:colOff>3071813</xdr:colOff>
      <xdr:row>8</xdr:row>
      <xdr:rowOff>327623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167F18-F958-4B67-8EF4-E110BD24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07438" y="1657350"/>
          <a:ext cx="7848600" cy="3689948"/>
        </a:xfrm>
        <a:prstGeom prst="rect">
          <a:avLst/>
        </a:prstGeom>
      </xdr:spPr>
    </xdr:pic>
    <xdr:clientData/>
  </xdr:twoCellAnchor>
  <xdr:twoCellAnchor editAs="oneCell">
    <xdr:from>
      <xdr:col>12</xdr:col>
      <xdr:colOff>619125</xdr:colOff>
      <xdr:row>57</xdr:row>
      <xdr:rowOff>642937</xdr:rowOff>
    </xdr:from>
    <xdr:to>
      <xdr:col>16</xdr:col>
      <xdr:colOff>2505279</xdr:colOff>
      <xdr:row>76</xdr:row>
      <xdr:rowOff>928687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DB0214-AB74-41F0-9832-9D4544BC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2625" y="56316562"/>
          <a:ext cx="7686879" cy="938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547688</xdr:colOff>
      <xdr:row>51</xdr:row>
      <xdr:rowOff>50091</xdr:rowOff>
    </xdr:from>
    <xdr:to>
      <xdr:col>16</xdr:col>
      <xdr:colOff>1357312</xdr:colOff>
      <xdr:row>57</xdr:row>
      <xdr:rowOff>71438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A82538-3681-495F-9250-EB7B49A7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31188" y="49684866"/>
          <a:ext cx="6610349" cy="60601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2F10-C4D4-4592-85B1-49DB0A1C255B}">
  <dimension ref="A1:S22"/>
  <sheetViews>
    <sheetView tabSelected="1" view="pageBreakPreview" topLeftCell="B4" zoomScale="80" zoomScaleNormal="100" zoomScaleSheetLayoutView="80" workbookViewId="0">
      <selection activeCell="L15" sqref="L15"/>
    </sheetView>
  </sheetViews>
  <sheetFormatPr defaultRowHeight="15"/>
  <cols>
    <col min="1" max="1" width="10" customWidth="1"/>
    <col min="3" max="3" width="21.28515625" customWidth="1"/>
    <col min="7" max="7" width="8.28515625" customWidth="1"/>
    <col min="8" max="8" width="36.28515625" customWidth="1"/>
    <col min="9" max="9" width="11.7109375" customWidth="1"/>
    <col min="10" max="18" width="8.85546875" customWidth="1"/>
  </cols>
  <sheetData>
    <row r="1" spans="1:19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  <c r="R1" s="419"/>
    </row>
    <row r="2" spans="1:19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  <c r="R2" s="373"/>
    </row>
    <row r="3" spans="1:19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  <c r="R3" s="378"/>
    </row>
    <row r="4" spans="1:19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  <c r="R4" s="373"/>
    </row>
    <row r="5" spans="1:19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</row>
    <row r="6" spans="1:19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20" t="s">
        <v>59</v>
      </c>
      <c r="O6" s="401" t="s">
        <v>108</v>
      </c>
      <c r="P6" s="401" t="s">
        <v>109</v>
      </c>
      <c r="Q6" s="401" t="s">
        <v>36</v>
      </c>
      <c r="R6" s="425" t="s">
        <v>37</v>
      </c>
      <c r="S6" s="426" t="s">
        <v>452</v>
      </c>
    </row>
    <row r="7" spans="1:19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3">
        <v>2.2999999999999998</v>
      </c>
      <c r="N7" s="423">
        <v>2.2999999999999998</v>
      </c>
      <c r="O7" s="424">
        <v>2.2999999999999998</v>
      </c>
      <c r="P7" s="424">
        <v>2.2999999999999998</v>
      </c>
      <c r="Q7" s="424">
        <v>2.2999999999999998</v>
      </c>
      <c r="R7" s="424">
        <f>Q7</f>
        <v>2.2999999999999998</v>
      </c>
      <c r="S7" s="424">
        <f>R7</f>
        <v>2.2999999999999998</v>
      </c>
    </row>
    <row r="8" spans="1:19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427">
        <f>M8-0.9</f>
        <v>16.200000000000003</v>
      </c>
      <c r="M8" s="427">
        <f>N8-0.9</f>
        <v>17.100000000000001</v>
      </c>
      <c r="N8" s="423">
        <v>18</v>
      </c>
      <c r="O8" s="393">
        <f>N8+0.9</f>
        <v>18.899999999999999</v>
      </c>
      <c r="P8" s="393">
        <f t="shared" ref="P8:S8" si="0">O8+0.9</f>
        <v>19.799999999999997</v>
      </c>
      <c r="Q8" s="393">
        <f t="shared" si="0"/>
        <v>20.699999999999996</v>
      </c>
      <c r="R8" s="393">
        <f t="shared" si="0"/>
        <v>21.599999999999994</v>
      </c>
      <c r="S8" s="393">
        <f t="shared" si="0"/>
        <v>22.499999999999993</v>
      </c>
    </row>
    <row r="9" spans="1:19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427">
        <f>M9-0.1</f>
        <v>2.9</v>
      </c>
      <c r="M9" s="427">
        <f>N9-0.1</f>
        <v>3</v>
      </c>
      <c r="N9" s="407">
        <v>3.1</v>
      </c>
      <c r="O9" s="393">
        <f>N9+0.1</f>
        <v>3.2</v>
      </c>
      <c r="P9" s="393">
        <f t="shared" ref="P9:S9" si="1">O9+0.1</f>
        <v>3.3000000000000003</v>
      </c>
      <c r="Q9" s="393">
        <f t="shared" si="1"/>
        <v>3.4000000000000004</v>
      </c>
      <c r="R9" s="393">
        <f t="shared" si="1"/>
        <v>3.5000000000000004</v>
      </c>
      <c r="S9" s="393">
        <f t="shared" si="1"/>
        <v>3.6000000000000005</v>
      </c>
    </row>
    <row r="10" spans="1:19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427">
        <f>M10-0.6</f>
        <v>10.5</v>
      </c>
      <c r="M10" s="427">
        <f>N10-0.6</f>
        <v>11.1</v>
      </c>
      <c r="N10" s="407">
        <v>11.7</v>
      </c>
      <c r="O10" s="393">
        <f>N10+0.6</f>
        <v>12.299999999999999</v>
      </c>
      <c r="P10" s="393">
        <f t="shared" ref="P10:S10" si="2">O10+0.6</f>
        <v>12.899999999999999</v>
      </c>
      <c r="Q10" s="393">
        <f t="shared" si="2"/>
        <v>13.499999999999998</v>
      </c>
      <c r="R10" s="393">
        <f t="shared" si="2"/>
        <v>14.099999999999998</v>
      </c>
      <c r="S10" s="393">
        <f t="shared" si="2"/>
        <v>14.699999999999998</v>
      </c>
    </row>
    <row r="11" spans="1:19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3">
        <v>30.5</v>
      </c>
      <c r="N11" s="423">
        <v>30.5</v>
      </c>
      <c r="O11" s="424">
        <v>30.5</v>
      </c>
      <c r="P11" s="424">
        <v>30.5</v>
      </c>
      <c r="Q11" s="424">
        <v>30.5</v>
      </c>
      <c r="R11" s="424">
        <f>Q11</f>
        <v>30.5</v>
      </c>
      <c r="S11" s="424">
        <f>R11</f>
        <v>30.5</v>
      </c>
    </row>
    <row r="12" spans="1:19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427">
        <f>M12-2.5</f>
        <v>43.5</v>
      </c>
      <c r="M12" s="427">
        <f>N12-2.5</f>
        <v>46</v>
      </c>
      <c r="N12" s="407">
        <v>48.5</v>
      </c>
      <c r="O12" s="393">
        <f>N12+2.5</f>
        <v>51</v>
      </c>
      <c r="P12" s="393">
        <f t="shared" ref="P12:S12" si="3">O12+2.5</f>
        <v>53.5</v>
      </c>
      <c r="Q12" s="393">
        <f>P12+2</f>
        <v>55.5</v>
      </c>
      <c r="R12" s="393">
        <f t="shared" si="3"/>
        <v>58</v>
      </c>
      <c r="S12" s="393">
        <f t="shared" si="3"/>
        <v>60.5</v>
      </c>
    </row>
    <row r="13" spans="1:19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3">
        <f>M13</f>
        <v>7</v>
      </c>
      <c r="M13" s="393">
        <f>N13</f>
        <v>7</v>
      </c>
      <c r="N13" s="407">
        <v>7</v>
      </c>
      <c r="O13" s="393">
        <f>N13</f>
        <v>7</v>
      </c>
      <c r="P13" s="393">
        <f t="shared" ref="P13:Q14" si="4">O13</f>
        <v>7</v>
      </c>
      <c r="Q13" s="393">
        <f t="shared" si="4"/>
        <v>7</v>
      </c>
      <c r="R13" s="393">
        <f>Q13</f>
        <v>7</v>
      </c>
      <c r="S13" s="393">
        <f>R13</f>
        <v>7</v>
      </c>
    </row>
    <row r="14" spans="1:19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3">
        <f>M14</f>
        <v>6.5</v>
      </c>
      <c r="M14" s="393">
        <f>N14</f>
        <v>6.5</v>
      </c>
      <c r="N14" s="423">
        <v>6.5</v>
      </c>
      <c r="O14" s="393">
        <f>N14</f>
        <v>6.5</v>
      </c>
      <c r="P14" s="393">
        <f t="shared" si="4"/>
        <v>6.5</v>
      </c>
      <c r="Q14" s="393">
        <f t="shared" si="4"/>
        <v>6.5</v>
      </c>
      <c r="R14" s="393">
        <f>Q14</f>
        <v>6.5</v>
      </c>
      <c r="S14" s="393">
        <f>R14</f>
        <v>6.5</v>
      </c>
    </row>
    <row r="15" spans="1:19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427">
        <f>M15-1.2</f>
        <v>66.3</v>
      </c>
      <c r="M15" s="427">
        <f>N15-0.9</f>
        <v>67.5</v>
      </c>
      <c r="N15" s="407">
        <v>68.400000000000006</v>
      </c>
      <c r="O15" s="393">
        <f>N15+2</f>
        <v>70.400000000000006</v>
      </c>
      <c r="P15" s="393">
        <f t="shared" ref="P15:Q15" si="5">O15+2</f>
        <v>72.400000000000006</v>
      </c>
      <c r="Q15" s="393">
        <f t="shared" si="5"/>
        <v>74.400000000000006</v>
      </c>
      <c r="R15" s="393">
        <f>Q15+2</f>
        <v>76.400000000000006</v>
      </c>
      <c r="S15" s="393">
        <f>R15+2</f>
        <v>78.400000000000006</v>
      </c>
    </row>
    <row r="16" spans="1:19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3">
        <f>M16-1</f>
        <v>28.5</v>
      </c>
      <c r="M16" s="393">
        <f>N16-1</f>
        <v>29.5</v>
      </c>
      <c r="N16" s="423">
        <v>30.5</v>
      </c>
      <c r="O16" s="393">
        <f>N16+1</f>
        <v>31.5</v>
      </c>
      <c r="P16" s="393">
        <f>O16+1.9</f>
        <v>33.4</v>
      </c>
      <c r="Q16" s="393">
        <f t="shared" ref="Q16:S16" si="6">P16+1.9</f>
        <v>35.299999999999997</v>
      </c>
      <c r="R16" s="393">
        <f t="shared" si="6"/>
        <v>37.199999999999996</v>
      </c>
      <c r="S16" s="393">
        <f t="shared" si="6"/>
        <v>39.099999999999994</v>
      </c>
    </row>
    <row r="17" spans="1:19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f>M17-4</f>
        <v>50.4</v>
      </c>
      <c r="M17" s="393">
        <f>N17-4</f>
        <v>54.4</v>
      </c>
      <c r="N17" s="423">
        <v>58.4</v>
      </c>
      <c r="O17" s="393">
        <f>N17+4</f>
        <v>62.4</v>
      </c>
      <c r="P17" s="393">
        <f>O17+5</f>
        <v>67.400000000000006</v>
      </c>
      <c r="Q17" s="393">
        <f t="shared" ref="Q17:S17" si="7">P17+5</f>
        <v>72.400000000000006</v>
      </c>
      <c r="R17" s="393">
        <f t="shared" si="7"/>
        <v>77.400000000000006</v>
      </c>
      <c r="S17" s="393">
        <f t="shared" si="7"/>
        <v>82.4</v>
      </c>
    </row>
    <row r="18" spans="1:19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f>M18-1</f>
        <v>76.099999999999994</v>
      </c>
      <c r="M18" s="393">
        <f>N18-1.4</f>
        <v>77.099999999999994</v>
      </c>
      <c r="N18" s="415">
        <v>78.5</v>
      </c>
      <c r="O18" s="393">
        <f>N18+0.9</f>
        <v>79.400000000000006</v>
      </c>
      <c r="P18" s="393">
        <f>O18+1.4</f>
        <v>80.800000000000011</v>
      </c>
      <c r="Q18" s="393">
        <f t="shared" ref="Q18:S18" si="8">P18+1.4</f>
        <v>82.200000000000017</v>
      </c>
      <c r="R18" s="393">
        <f t="shared" si="8"/>
        <v>83.600000000000023</v>
      </c>
      <c r="S18" s="393">
        <f t="shared" si="8"/>
        <v>85.000000000000028</v>
      </c>
    </row>
    <row r="19" spans="1:19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f>M19-0.5</f>
        <v>22</v>
      </c>
      <c r="M19" s="393">
        <f>N19-0.5</f>
        <v>22.5</v>
      </c>
      <c r="N19" s="423">
        <v>23</v>
      </c>
      <c r="O19" s="393">
        <f>N19+1</f>
        <v>24</v>
      </c>
      <c r="P19" s="393">
        <f>O19+1.6</f>
        <v>25.6</v>
      </c>
      <c r="Q19" s="393">
        <f t="shared" ref="Q19:S19" si="9">P19+1.6</f>
        <v>27.200000000000003</v>
      </c>
      <c r="R19" s="393">
        <f t="shared" si="9"/>
        <v>28.800000000000004</v>
      </c>
      <c r="S19" s="393">
        <f t="shared" si="9"/>
        <v>30.400000000000006</v>
      </c>
    </row>
    <row r="20" spans="1:19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>
        <f>M20-0.3</f>
        <v>13.399999999999999</v>
      </c>
      <c r="M20" s="393">
        <f>N20-0.3</f>
        <v>13.7</v>
      </c>
      <c r="N20" s="423">
        <v>14</v>
      </c>
      <c r="O20" s="393">
        <f>N20+0.4</f>
        <v>14.4</v>
      </c>
      <c r="P20" s="393">
        <f t="shared" ref="P20:S20" si="10">O20+0.4</f>
        <v>14.8</v>
      </c>
      <c r="Q20" s="393">
        <f t="shared" si="10"/>
        <v>15.200000000000001</v>
      </c>
      <c r="R20" s="393">
        <f t="shared" si="10"/>
        <v>15.600000000000001</v>
      </c>
      <c r="S20" s="393">
        <f t="shared" si="10"/>
        <v>16</v>
      </c>
    </row>
    <row r="21" spans="1:19" s="397" customFormat="1" ht="35.25" customHeight="1">
      <c r="A21" s="390" t="s">
        <v>400</v>
      </c>
      <c r="B21" s="428" t="s">
        <v>401</v>
      </c>
      <c r="C21" s="428"/>
      <c r="D21" s="429" t="s">
        <v>396</v>
      </c>
      <c r="E21" s="430"/>
      <c r="F21" s="430"/>
      <c r="G21" s="431"/>
      <c r="H21" s="391" t="s">
        <v>411</v>
      </c>
      <c r="I21" s="392" t="s">
        <v>350</v>
      </c>
      <c r="J21" s="393" t="s">
        <v>381</v>
      </c>
      <c r="K21" s="393" t="s">
        <v>381</v>
      </c>
      <c r="L21" s="393">
        <f>M21-4</f>
        <v>47.5</v>
      </c>
      <c r="M21" s="393">
        <f>N21-4</f>
        <v>51.5</v>
      </c>
      <c r="N21" s="423">
        <v>55.5</v>
      </c>
      <c r="O21" s="393">
        <f>N21+4</f>
        <v>59.5</v>
      </c>
      <c r="P21" s="393">
        <f>O21+5</f>
        <v>64.5</v>
      </c>
      <c r="Q21" s="393">
        <f t="shared" ref="Q21:S21" si="11">P21+5</f>
        <v>69.5</v>
      </c>
      <c r="R21" s="393">
        <f t="shared" si="11"/>
        <v>74.5</v>
      </c>
      <c r="S21" s="393">
        <f t="shared" si="11"/>
        <v>79.5</v>
      </c>
    </row>
    <row r="22" spans="1:19" ht="36" customHeight="1">
      <c r="H22" s="411" t="s">
        <v>453</v>
      </c>
      <c r="I22" s="412"/>
      <c r="J22" s="412"/>
      <c r="K22" s="412"/>
      <c r="L22" s="416">
        <f>M22-2.5</f>
        <v>43.5</v>
      </c>
      <c r="M22" s="416">
        <f>N22-2.5</f>
        <v>46</v>
      </c>
      <c r="N22" s="407">
        <v>48.5</v>
      </c>
      <c r="O22" s="413">
        <f>N22+2.5</f>
        <v>51</v>
      </c>
      <c r="P22" s="413">
        <f>O22+2.5</f>
        <v>53.5</v>
      </c>
      <c r="Q22" s="413">
        <f>P22+2</f>
        <v>55.5</v>
      </c>
      <c r="R22" s="413">
        <f>Q22+2.5</f>
        <v>58</v>
      </c>
      <c r="S22" s="413">
        <f>R22+2.5</f>
        <v>60.5</v>
      </c>
    </row>
  </sheetData>
  <mergeCells count="38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18:C18"/>
    <mergeCell ref="D18:G18"/>
    <mergeCell ref="B19:C19"/>
    <mergeCell ref="D19:G19"/>
    <mergeCell ref="B20:C20"/>
    <mergeCell ref="D20:G20"/>
  </mergeCells>
  <conditionalFormatting sqref="N7:N22">
    <cfRule type="expression" dxfId="7" priority="1" stopIfTrue="1">
      <formula>#REF!="OUT"</formula>
    </cfRule>
  </conditionalFormatting>
  <dataValidations count="1">
    <dataValidation allowBlank="1" showInputMessage="1" showErrorMessage="1" promptTitle="test" sqref="L7 A7:K21 L11" xr:uid="{D7693EAD-0102-4D35-B902-03EC20D05EA5}"/>
  </dataValidations>
  <pageMargins left="0" right="0" top="0.5" bottom="0.5" header="0" footer="0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5191-636F-4349-84DD-3B3CD7850BE8}">
  <dimension ref="A1:N20"/>
  <sheetViews>
    <sheetView view="pageBreakPreview" zoomScale="60" zoomScaleNormal="100" workbookViewId="0">
      <selection activeCell="E12" sqref="E12"/>
    </sheetView>
  </sheetViews>
  <sheetFormatPr defaultColWidth="9.140625" defaultRowHeight="12.75"/>
  <cols>
    <col min="1" max="1" width="25.42578125" style="345" customWidth="1"/>
    <col min="2" max="2" width="29.5703125" style="345" customWidth="1"/>
    <col min="3" max="3" width="52.5703125" style="345" customWidth="1"/>
    <col min="4" max="4" width="14.5703125" style="360" customWidth="1"/>
    <col min="5" max="6" width="16.42578125" style="360" customWidth="1"/>
    <col min="7" max="16384" width="9.140625" style="345"/>
  </cols>
  <sheetData>
    <row r="1" spans="1:14" ht="12" customHeight="1">
      <c r="A1" s="591" t="s">
        <v>277</v>
      </c>
      <c r="B1" s="592"/>
      <c r="C1" s="342"/>
      <c r="D1" s="343" t="s">
        <v>278</v>
      </c>
      <c r="E1" s="344"/>
      <c r="F1" s="344"/>
    </row>
    <row r="2" spans="1:14" ht="12" customHeight="1">
      <c r="A2" s="593"/>
      <c r="B2" s="594"/>
      <c r="C2" s="346"/>
      <c r="D2" s="343" t="s">
        <v>279</v>
      </c>
      <c r="E2" s="344"/>
      <c r="F2" s="344"/>
    </row>
    <row r="3" spans="1:14" ht="12" customHeight="1">
      <c r="A3" s="593"/>
      <c r="B3" s="594"/>
      <c r="C3" s="346"/>
      <c r="D3" s="343" t="s">
        <v>280</v>
      </c>
      <c r="E3" s="347" t="s">
        <v>276</v>
      </c>
      <c r="F3" s="347"/>
    </row>
    <row r="4" spans="1:14" ht="12.2" customHeight="1">
      <c r="A4" s="595"/>
      <c r="B4" s="596"/>
      <c r="C4" s="348"/>
      <c r="D4" s="597"/>
      <c r="E4" s="598"/>
      <c r="F4" s="345"/>
    </row>
    <row r="5" spans="1:14" ht="30.75" customHeight="1">
      <c r="A5" s="599" t="s">
        <v>281</v>
      </c>
      <c r="B5" s="600"/>
      <c r="C5" s="349"/>
      <c r="D5" s="350" t="s">
        <v>282</v>
      </c>
      <c r="E5" s="350" t="s">
        <v>59</v>
      </c>
      <c r="F5" s="350" t="s">
        <v>315</v>
      </c>
    </row>
    <row r="6" spans="1:14" ht="27.75" customHeight="1">
      <c r="A6" s="601" t="s">
        <v>283</v>
      </c>
      <c r="B6" s="590"/>
      <c r="C6" s="351" t="s">
        <v>284</v>
      </c>
      <c r="D6" s="352" t="s">
        <v>285</v>
      </c>
      <c r="E6" s="352">
        <v>29</v>
      </c>
      <c r="F6" s="361" t="s">
        <v>316</v>
      </c>
    </row>
    <row r="7" spans="1:14" ht="27.75" customHeight="1">
      <c r="A7" s="589" t="s">
        <v>286</v>
      </c>
      <c r="B7" s="590"/>
      <c r="C7" s="353" t="s">
        <v>287</v>
      </c>
      <c r="D7" s="352" t="s">
        <v>285</v>
      </c>
      <c r="E7" s="354">
        <v>22.5</v>
      </c>
      <c r="F7" s="362" t="s">
        <v>317</v>
      </c>
    </row>
    <row r="8" spans="1:14" ht="27.75" customHeight="1">
      <c r="A8" s="589" t="s">
        <v>288</v>
      </c>
      <c r="B8" s="590"/>
      <c r="C8" s="353" t="s">
        <v>289</v>
      </c>
      <c r="D8" s="352" t="s">
        <v>285</v>
      </c>
      <c r="E8" s="352">
        <v>22</v>
      </c>
      <c r="F8" s="352" t="s">
        <v>318</v>
      </c>
    </row>
    <row r="9" spans="1:14" ht="27.75" customHeight="1">
      <c r="A9" s="602" t="s">
        <v>290</v>
      </c>
      <c r="B9" s="603"/>
      <c r="C9" s="355" t="s">
        <v>291</v>
      </c>
      <c r="D9" s="352" t="s">
        <v>292</v>
      </c>
      <c r="E9" s="356">
        <v>0.5</v>
      </c>
      <c r="F9" s="363" t="s">
        <v>319</v>
      </c>
    </row>
    <row r="10" spans="1:14" ht="27.75" customHeight="1">
      <c r="A10" s="602" t="s">
        <v>293</v>
      </c>
      <c r="B10" s="604"/>
      <c r="C10" s="353" t="s">
        <v>294</v>
      </c>
      <c r="D10" s="352" t="s">
        <v>285</v>
      </c>
      <c r="E10" s="354">
        <v>19.25</v>
      </c>
      <c r="F10" s="362" t="s">
        <v>317</v>
      </c>
    </row>
    <row r="11" spans="1:14" ht="27.75" customHeight="1">
      <c r="A11" s="602" t="s">
        <v>258</v>
      </c>
      <c r="B11" s="603"/>
      <c r="C11" s="357" t="s">
        <v>295</v>
      </c>
      <c r="D11" s="352" t="s">
        <v>296</v>
      </c>
      <c r="E11" s="354">
        <v>10.5</v>
      </c>
      <c r="F11" s="362" t="s">
        <v>317</v>
      </c>
    </row>
    <row r="12" spans="1:14" ht="27.75" customHeight="1">
      <c r="A12" s="602" t="s">
        <v>297</v>
      </c>
      <c r="B12" s="603"/>
      <c r="C12" s="353" t="s">
        <v>298</v>
      </c>
      <c r="D12" s="352" t="s">
        <v>285</v>
      </c>
      <c r="E12" s="354">
        <v>26</v>
      </c>
      <c r="F12" s="362" t="s">
        <v>317</v>
      </c>
    </row>
    <row r="13" spans="1:14" ht="27.75" customHeight="1">
      <c r="A13" s="602" t="s">
        <v>299</v>
      </c>
      <c r="B13" s="604"/>
      <c r="C13" s="358" t="s">
        <v>300</v>
      </c>
      <c r="D13" s="352" t="s">
        <v>296</v>
      </c>
      <c r="E13" s="352">
        <v>10</v>
      </c>
      <c r="F13" s="352" t="s">
        <v>318</v>
      </c>
    </row>
    <row r="14" spans="1:14" ht="27.75" customHeight="1">
      <c r="A14" s="605" t="s">
        <v>301</v>
      </c>
      <c r="B14" s="604"/>
      <c r="C14" s="353" t="s">
        <v>302</v>
      </c>
      <c r="D14" s="352" t="s">
        <v>296</v>
      </c>
      <c r="E14" s="352">
        <v>4</v>
      </c>
      <c r="F14" s="352" t="s">
        <v>318</v>
      </c>
      <c r="N14" s="345" t="s">
        <v>321</v>
      </c>
    </row>
    <row r="15" spans="1:14" ht="27.75" customHeight="1">
      <c r="A15" s="602" t="s">
        <v>303</v>
      </c>
      <c r="B15" s="603"/>
      <c r="C15" s="358" t="s">
        <v>304</v>
      </c>
      <c r="D15" s="352" t="s">
        <v>296</v>
      </c>
      <c r="E15" s="354">
        <v>7.5</v>
      </c>
      <c r="F15" s="363" t="s">
        <v>319</v>
      </c>
    </row>
    <row r="16" spans="1:14" ht="27.75" customHeight="1">
      <c r="A16" s="602" t="s">
        <v>305</v>
      </c>
      <c r="B16" s="604"/>
      <c r="C16" s="353" t="s">
        <v>306</v>
      </c>
      <c r="D16" s="352" t="s">
        <v>296</v>
      </c>
      <c r="E16" s="354">
        <v>3.75</v>
      </c>
      <c r="F16" s="352" t="s">
        <v>318</v>
      </c>
    </row>
    <row r="17" spans="1:6" ht="27.75" customHeight="1">
      <c r="A17" s="602" t="s">
        <v>307</v>
      </c>
      <c r="B17" s="603"/>
      <c r="C17" s="353" t="s">
        <v>308</v>
      </c>
      <c r="D17" s="352" t="s">
        <v>292</v>
      </c>
      <c r="E17" s="359">
        <v>0.75</v>
      </c>
      <c r="F17" s="352" t="s">
        <v>318</v>
      </c>
    </row>
    <row r="18" spans="1:6" ht="27.75" customHeight="1">
      <c r="A18" s="589" t="s">
        <v>309</v>
      </c>
      <c r="B18" s="606"/>
      <c r="C18" s="353" t="s">
        <v>310</v>
      </c>
      <c r="D18" s="352" t="s">
        <v>292</v>
      </c>
      <c r="E18" s="352">
        <v>1</v>
      </c>
      <c r="F18" s="352" t="s">
        <v>318</v>
      </c>
    </row>
    <row r="19" spans="1:6" ht="27.75" customHeight="1">
      <c r="A19" s="601" t="s">
        <v>311</v>
      </c>
      <c r="B19" s="590"/>
      <c r="C19" s="353" t="s">
        <v>312</v>
      </c>
      <c r="D19" s="352" t="s">
        <v>292</v>
      </c>
      <c r="E19" s="354">
        <v>1.125</v>
      </c>
      <c r="F19" s="352" t="s">
        <v>318</v>
      </c>
    </row>
    <row r="20" spans="1:6" ht="27.75" customHeight="1">
      <c r="A20" s="601" t="s">
        <v>313</v>
      </c>
      <c r="B20" s="590"/>
      <c r="C20" s="353" t="s">
        <v>314</v>
      </c>
      <c r="D20" s="352" t="s">
        <v>292</v>
      </c>
      <c r="E20" s="354">
        <v>1.5</v>
      </c>
      <c r="F20" s="362" t="s">
        <v>320</v>
      </c>
    </row>
  </sheetData>
  <mergeCells count="18"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8:B8"/>
    <mergeCell ref="A1:B4"/>
    <mergeCell ref="D4:E4"/>
    <mergeCell ref="A5:B5"/>
    <mergeCell ref="A6:B6"/>
    <mergeCell ref="A7:B7"/>
  </mergeCells>
  <pageMargins left="0.7" right="0.7" top="0.75" bottom="0.75" header="0.3" footer="0.3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D39BC-BDB1-4E61-A2A9-D0C6A7B87F47}">
  <dimension ref="A29"/>
  <sheetViews>
    <sheetView view="pageBreakPreview" topLeftCell="A13" zoomScaleNormal="100" zoomScaleSheetLayoutView="100" workbookViewId="0">
      <selection activeCell="I7" sqref="I7"/>
    </sheetView>
  </sheetViews>
  <sheetFormatPr defaultRowHeight="15"/>
  <cols>
    <col min="1" max="5" width="16.28515625" customWidth="1"/>
    <col min="6" max="6" width="60" customWidth="1"/>
    <col min="7" max="11" width="16.28515625" customWidth="1"/>
  </cols>
  <sheetData>
    <row r="29" ht="114" customHeight="1"/>
  </sheetData>
  <pageMargins left="0" right="0" top="0.5" bottom="0.5" header="0" footer="0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7F234-D35D-4A29-9104-7212750D72B9}">
  <dimension ref="A1"/>
  <sheetViews>
    <sheetView workbookViewId="0">
      <selection activeCell="U3" sqref="U3"/>
    </sheetView>
  </sheetViews>
  <sheetFormatPr defaultRowHeight="15"/>
  <sheetData/>
  <pageMargins left="0" right="0" top="0.5" bottom="0.5" header="0" footer="0"/>
  <pageSetup paperSize="9" orientation="landscape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5C2B-F957-4710-98E0-EEFCC35CAA40}">
  <dimension ref="A1:Q22"/>
  <sheetViews>
    <sheetView view="pageBreakPreview" topLeftCell="A2" zoomScale="80" zoomScaleNormal="100" zoomScaleSheetLayoutView="80" workbookViewId="0">
      <selection activeCell="I8" sqref="A7:I8"/>
    </sheetView>
  </sheetViews>
  <sheetFormatPr defaultRowHeight="15"/>
  <cols>
    <col min="1" max="1" width="10" customWidth="1"/>
    <col min="3" max="3" width="21.28515625" customWidth="1"/>
    <col min="7" max="7" width="8.28515625" customWidth="1"/>
    <col min="8" max="8" width="36.28515625" customWidth="1"/>
    <col min="9" max="9" width="11.7109375" customWidth="1"/>
    <col min="10" max="17" width="8.85546875" customWidth="1"/>
  </cols>
  <sheetData>
    <row r="1" spans="1:17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</row>
    <row r="2" spans="1:17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</row>
    <row r="3" spans="1:17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</row>
    <row r="4" spans="1:17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</row>
    <row r="5" spans="1:17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</row>
    <row r="6" spans="1:17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</row>
    <row r="7" spans="1:17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</row>
    <row r="8" spans="1:17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</row>
    <row r="9" spans="1:17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</row>
    <row r="10" spans="1:17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</row>
    <row r="11" spans="1:17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</row>
    <row r="12" spans="1:17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</row>
    <row r="13" spans="1:17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3">
        <v>7</v>
      </c>
      <c r="M13" s="394">
        <v>7</v>
      </c>
      <c r="N13" s="395">
        <v>7</v>
      </c>
      <c r="O13" s="396">
        <v>7</v>
      </c>
      <c r="P13" s="396">
        <v>7</v>
      </c>
      <c r="Q13" s="396">
        <v>7</v>
      </c>
    </row>
    <row r="14" spans="1:17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3">
        <v>6.5</v>
      </c>
      <c r="M14" s="394">
        <v>6.5</v>
      </c>
      <c r="N14" s="395">
        <v>6.5</v>
      </c>
      <c r="O14" s="396">
        <v>6.5</v>
      </c>
      <c r="P14" s="396">
        <v>6.5</v>
      </c>
      <c r="Q14" s="396">
        <v>6.5</v>
      </c>
    </row>
    <row r="15" spans="1:17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v>68</v>
      </c>
      <c r="M15" s="394">
        <v>69</v>
      </c>
      <c r="N15" s="395">
        <v>70</v>
      </c>
      <c r="O15" s="396">
        <v>72</v>
      </c>
      <c r="P15" s="396">
        <v>74</v>
      </c>
      <c r="Q15" s="396">
        <v>76</v>
      </c>
    </row>
    <row r="16" spans="1:17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3"/>
      <c r="M16" s="394"/>
      <c r="N16" s="395">
        <v>30.5</v>
      </c>
      <c r="O16" s="396"/>
      <c r="P16" s="396"/>
      <c r="Q16" s="396"/>
    </row>
    <row r="17" spans="1:17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</row>
    <row r="18" spans="1:17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v>83.4</v>
      </c>
      <c r="M18" s="394">
        <v>84.7</v>
      </c>
      <c r="N18" s="395">
        <v>86</v>
      </c>
      <c r="O18" s="396">
        <v>87.2</v>
      </c>
      <c r="P18" s="396">
        <v>88.4</v>
      </c>
      <c r="Q18" s="396">
        <v>90</v>
      </c>
    </row>
    <row r="19" spans="1:17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</row>
    <row r="20" spans="1:17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>
        <v>9.9</v>
      </c>
      <c r="M20" s="394">
        <v>10.199999999999999</v>
      </c>
      <c r="N20" s="395">
        <v>10.5</v>
      </c>
      <c r="O20" s="396">
        <v>10.9</v>
      </c>
      <c r="P20" s="396">
        <v>11.3</v>
      </c>
      <c r="Q20" s="396">
        <v>11.7</v>
      </c>
    </row>
    <row r="21" spans="1:17" s="397" customFormat="1" ht="35.25" customHeight="1">
      <c r="A21" s="390" t="s">
        <v>397</v>
      </c>
      <c r="B21" s="428" t="s">
        <v>398</v>
      </c>
      <c r="C21" s="428"/>
      <c r="D21" s="429" t="s">
        <v>399</v>
      </c>
      <c r="E21" s="430"/>
      <c r="F21" s="430"/>
      <c r="G21" s="431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</row>
    <row r="22" spans="1:17" s="397" customFormat="1" ht="35.25" customHeight="1">
      <c r="A22" s="390" t="s">
        <v>400</v>
      </c>
      <c r="B22" s="428" t="s">
        <v>401</v>
      </c>
      <c r="C22" s="428"/>
      <c r="D22" s="429" t="s">
        <v>396</v>
      </c>
      <c r="E22" s="430"/>
      <c r="F22" s="430"/>
      <c r="G22" s="431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</row>
  </sheetData>
  <mergeCells count="40">
    <mergeCell ref="B22:C22"/>
    <mergeCell ref="D22:G22"/>
    <mergeCell ref="B20:C20"/>
    <mergeCell ref="D20:G20"/>
    <mergeCell ref="B21:C21"/>
    <mergeCell ref="D21:G21"/>
    <mergeCell ref="B18:C18"/>
    <mergeCell ref="D18:G18"/>
    <mergeCell ref="B19:C19"/>
    <mergeCell ref="D19:G19"/>
    <mergeCell ref="B16:C16"/>
    <mergeCell ref="D16:G16"/>
    <mergeCell ref="B17:C17"/>
    <mergeCell ref="D17:G17"/>
    <mergeCell ref="B14:C14"/>
    <mergeCell ref="D14:G14"/>
    <mergeCell ref="B15:C15"/>
    <mergeCell ref="D15:G15"/>
    <mergeCell ref="B12:C12"/>
    <mergeCell ref="D12:G12"/>
    <mergeCell ref="B13:C13"/>
    <mergeCell ref="D13:G13"/>
    <mergeCell ref="B11:C11"/>
    <mergeCell ref="D11:G11"/>
    <mergeCell ref="B8:C8"/>
    <mergeCell ref="D8:G8"/>
    <mergeCell ref="B9:C9"/>
    <mergeCell ref="D9:G9"/>
    <mergeCell ref="B6:C6"/>
    <mergeCell ref="D6:G6"/>
    <mergeCell ref="B7:C7"/>
    <mergeCell ref="D7:G7"/>
    <mergeCell ref="B10:C10"/>
    <mergeCell ref="D10:G10"/>
    <mergeCell ref="A1:G1"/>
    <mergeCell ref="I1:J1"/>
    <mergeCell ref="A2:G2"/>
    <mergeCell ref="I2:J2"/>
    <mergeCell ref="A4:C4"/>
    <mergeCell ref="D4:E4"/>
  </mergeCells>
  <conditionalFormatting sqref="N7:N22">
    <cfRule type="expression" dxfId="0" priority="2" stopIfTrue="1">
      <formula>#REF!="OUT"</formula>
    </cfRule>
  </conditionalFormatting>
  <dataValidations count="1">
    <dataValidation allowBlank="1" showInputMessage="1" showErrorMessage="1" promptTitle="test" sqref="A7:L22" xr:uid="{DC682BF9-6BEB-4D4E-B8AD-785495B9ACFB}"/>
  </dataValidations>
  <pageMargins left="0" right="0" top="0.5" bottom="0.5" header="0" footer="0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80E04-967D-4482-8B24-F4598FA0E190}">
  <dimension ref="A1:AB100"/>
  <sheetViews>
    <sheetView view="pageBreakPreview" topLeftCell="A25" zoomScale="40" zoomScaleNormal="10" zoomScaleSheetLayoutView="40" zoomScalePageLayoutView="25" workbookViewId="0">
      <selection activeCell="J28" sqref="J28"/>
    </sheetView>
  </sheetViews>
  <sheetFormatPr defaultColWidth="9.140625" defaultRowHeight="16.5"/>
  <cols>
    <col min="1" max="1" width="8.42578125" style="38" customWidth="1"/>
    <col min="2" max="2" width="30" style="38" customWidth="1"/>
    <col min="3" max="3" width="39.85546875" style="38" customWidth="1"/>
    <col min="4" max="4" width="30.42578125" style="38" customWidth="1"/>
    <col min="5" max="5" width="24.140625" style="38" customWidth="1"/>
    <col min="6" max="6" width="27.5703125" style="38" customWidth="1"/>
    <col min="7" max="7" width="28.85546875" style="39" customWidth="1"/>
    <col min="8" max="8" width="23.140625" style="38" customWidth="1"/>
    <col min="9" max="9" width="21.42578125" style="38" customWidth="1"/>
    <col min="10" max="10" width="28.140625" style="38" customWidth="1"/>
    <col min="11" max="11" width="22.140625" style="38" customWidth="1"/>
    <col min="12" max="12" width="21.5703125" style="38" customWidth="1"/>
    <col min="13" max="13" width="26.85546875" style="38" customWidth="1"/>
    <col min="14" max="14" width="21" style="38" customWidth="1"/>
    <col min="15" max="15" width="23" style="38" customWidth="1"/>
    <col min="16" max="16" width="16.140625" style="38" customWidth="1"/>
    <col min="17" max="17" width="49.85546875" style="38" customWidth="1"/>
    <col min="18" max="18" width="13.5703125" style="38" bestFit="1" customWidth="1"/>
    <col min="19" max="19" width="10.85546875" style="38" bestFit="1" customWidth="1"/>
    <col min="20" max="21" width="9.140625" style="38"/>
    <col min="22" max="22" width="34.85546875" style="38" customWidth="1"/>
    <col min="23" max="26" width="12.42578125" style="38" bestFit="1" customWidth="1"/>
    <col min="27" max="28" width="9.85546875" style="38" bestFit="1" customWidth="1"/>
    <col min="29" max="16384" width="9.14062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1" t="s">
        <v>0</v>
      </c>
      <c r="O1" s="471" t="s">
        <v>0</v>
      </c>
      <c r="P1" s="477" t="s">
        <v>1</v>
      </c>
      <c r="Q1" s="477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1" t="s">
        <v>2</v>
      </c>
      <c r="O2" s="471" t="s">
        <v>2</v>
      </c>
      <c r="P2" s="478" t="s">
        <v>3</v>
      </c>
      <c r="Q2" s="478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1" t="s">
        <v>4</v>
      </c>
      <c r="O3" s="471" t="s">
        <v>4</v>
      </c>
      <c r="P3" s="479" t="s">
        <v>5</v>
      </c>
      <c r="Q3" s="477"/>
    </row>
    <row r="4" spans="1:17" s="5" customFormat="1" ht="56.25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81" t="s">
        <v>8</v>
      </c>
      <c r="H5" s="482"/>
      <c r="I5" s="482"/>
      <c r="J5" s="482"/>
      <c r="K5" s="482"/>
      <c r="L5" s="483"/>
      <c r="M5" s="13"/>
    </row>
    <row r="6" spans="1:17" s="213" customFormat="1" ht="57.95" customHeight="1">
      <c r="B6" s="214" t="s">
        <v>9</v>
      </c>
      <c r="C6" s="214"/>
      <c r="D6" s="215" t="s">
        <v>10</v>
      </c>
      <c r="E6" s="216"/>
      <c r="F6" s="214"/>
      <c r="G6" s="484"/>
      <c r="H6" s="485"/>
      <c r="I6" s="485"/>
      <c r="J6" s="485"/>
      <c r="K6" s="485"/>
      <c r="L6" s="486"/>
      <c r="M6" s="217"/>
      <c r="N6" s="217"/>
      <c r="O6" s="217"/>
      <c r="P6" s="217"/>
      <c r="Q6" s="217"/>
    </row>
    <row r="7" spans="1:17" s="213" customFormat="1" ht="57.95" customHeight="1">
      <c r="B7" s="214" t="s">
        <v>11</v>
      </c>
      <c r="C7" s="214"/>
      <c r="D7" s="215" t="s">
        <v>12</v>
      </c>
      <c r="E7" s="215"/>
      <c r="F7" s="214"/>
      <c r="G7" s="484"/>
      <c r="H7" s="485"/>
      <c r="I7" s="485"/>
      <c r="J7" s="485"/>
      <c r="K7" s="485"/>
      <c r="L7" s="486"/>
      <c r="M7" s="217"/>
      <c r="N7" s="217"/>
      <c r="O7" s="217"/>
      <c r="P7" s="217"/>
      <c r="Q7" s="217"/>
    </row>
    <row r="8" spans="1:17" s="213" customFormat="1" ht="57.95" customHeight="1" thickBot="1">
      <c r="B8" s="214" t="s">
        <v>13</v>
      </c>
      <c r="C8" s="214"/>
      <c r="D8" s="472" t="s">
        <v>14</v>
      </c>
      <c r="E8" s="472"/>
      <c r="F8" s="472"/>
      <c r="G8" s="487"/>
      <c r="H8" s="488"/>
      <c r="I8" s="488"/>
      <c r="J8" s="488"/>
      <c r="K8" s="488"/>
      <c r="L8" s="489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18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20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75"/>
      <c r="E11" s="476"/>
      <c r="F11" s="476"/>
      <c r="G11" s="293"/>
      <c r="H11" s="292"/>
      <c r="I11" s="225"/>
      <c r="J11" s="225" t="s">
        <v>22</v>
      </c>
      <c r="K11" s="225"/>
      <c r="L11" s="225"/>
      <c r="M11" s="473" t="s">
        <v>23</v>
      </c>
      <c r="N11" s="473"/>
      <c r="O11" s="473"/>
      <c r="P11" s="473"/>
      <c r="Q11" s="473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80"/>
      <c r="C13" s="480"/>
      <c r="D13" s="480"/>
      <c r="E13" s="480"/>
      <c r="F13" s="480"/>
      <c r="G13" s="295"/>
      <c r="H13" s="296"/>
      <c r="I13" s="225"/>
      <c r="J13" s="225" t="s">
        <v>27</v>
      </c>
      <c r="K13" s="225"/>
      <c r="L13" s="225"/>
      <c r="M13" s="225"/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31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78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 t="s">
        <v>36</v>
      </c>
      <c r="H17" s="184" t="s">
        <v>37</v>
      </c>
      <c r="I17" s="184"/>
      <c r="J17" s="184"/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78.75" customHeight="1">
      <c r="B18" s="187" t="s">
        <v>39</v>
      </c>
      <c r="C18" s="188"/>
      <c r="D18" s="189" t="s">
        <v>40</v>
      </c>
      <c r="E18" s="190"/>
      <c r="F18" s="191"/>
      <c r="G18" s="205">
        <v>10</v>
      </c>
      <c r="H18" s="205">
        <v>25</v>
      </c>
      <c r="I18" s="205"/>
      <c r="J18" s="205"/>
      <c r="K18" s="205"/>
      <c r="L18" s="205"/>
      <c r="M18" s="205"/>
      <c r="N18" s="191"/>
      <c r="O18" s="191"/>
      <c r="P18" s="191"/>
      <c r="Q18" s="192">
        <f>SUM(E18:P18)</f>
        <v>35</v>
      </c>
      <c r="V18" s="186">
        <v>394</v>
      </c>
    </row>
    <row r="19" spans="1:28" s="186" customFormat="1" ht="78.75" customHeight="1">
      <c r="B19" s="187" t="s">
        <v>41</v>
      </c>
      <c r="C19" s="188"/>
      <c r="D19" s="190" t="str">
        <f>+D18</f>
        <v>BLACK</v>
      </c>
      <c r="E19" s="190"/>
      <c r="F19" s="191"/>
      <c r="G19" s="193">
        <f>ROUNDUP(G18*5%,0)+1</f>
        <v>2</v>
      </c>
      <c r="H19" s="193">
        <f>ROUNDUP(H18*5%,0)+1</f>
        <v>3</v>
      </c>
      <c r="I19" s="193"/>
      <c r="J19" s="193"/>
      <c r="K19" s="193"/>
      <c r="L19" s="193"/>
      <c r="M19" s="193"/>
      <c r="N19" s="193"/>
      <c r="O19" s="193"/>
      <c r="P19" s="193"/>
      <c r="Q19" s="192">
        <f>SUM(E19:P19)</f>
        <v>5</v>
      </c>
      <c r="V19" s="186">
        <v>1187</v>
      </c>
    </row>
    <row r="20" spans="1:28" s="199" customFormat="1" ht="78.75" customHeight="1">
      <c r="B20" s="194" t="s">
        <v>42</v>
      </c>
      <c r="C20" s="194"/>
      <c r="D20" s="195" t="str">
        <f>+D19</f>
        <v>BLACK</v>
      </c>
      <c r="E20" s="196"/>
      <c r="F20" s="197"/>
      <c r="G20" s="198">
        <f t="shared" ref="G20:H20" si="0">SUM(G18:G19)</f>
        <v>12</v>
      </c>
      <c r="H20" s="198">
        <f t="shared" si="0"/>
        <v>28</v>
      </c>
      <c r="I20" s="198"/>
      <c r="J20" s="198"/>
      <c r="K20" s="198"/>
      <c r="L20" s="198"/>
      <c r="M20" s="198"/>
      <c r="N20" s="197"/>
      <c r="O20" s="197"/>
      <c r="P20" s="197"/>
      <c r="Q20" s="197">
        <f>SUM(Q18:Q19)</f>
        <v>40</v>
      </c>
      <c r="V20" s="199">
        <v>3588</v>
      </c>
    </row>
    <row r="21" spans="1:28" s="186" customFormat="1" ht="78.75" customHeight="1">
      <c r="A21" s="206"/>
      <c r="B21" s="207" t="s">
        <v>43</v>
      </c>
      <c r="C21" s="207"/>
      <c r="D21" s="207"/>
      <c r="E21" s="208"/>
      <c r="F21" s="208"/>
      <c r="G21" s="209">
        <v>1</v>
      </c>
      <c r="H21" s="210">
        <v>1</v>
      </c>
      <c r="I21" s="267"/>
      <c r="J21" s="267"/>
      <c r="K21" s="267"/>
      <c r="L21" s="209"/>
      <c r="M21" s="210"/>
      <c r="N21" s="211"/>
      <c r="O21" s="211"/>
      <c r="P21" s="211"/>
      <c r="Q21" s="212">
        <v>4</v>
      </c>
      <c r="V21" s="186">
        <v>4036</v>
      </c>
    </row>
    <row r="22" spans="1:28" s="199" customFormat="1" ht="78.75" customHeight="1">
      <c r="B22" s="200" t="s">
        <v>44</v>
      </c>
      <c r="C22" s="201"/>
      <c r="D22" s="200"/>
      <c r="E22" s="202"/>
      <c r="F22" s="203"/>
      <c r="G22" s="203">
        <f>G20</f>
        <v>12</v>
      </c>
      <c r="H22" s="203">
        <f t="shared" ref="H22" si="1">H20</f>
        <v>28</v>
      </c>
      <c r="I22" s="203"/>
      <c r="J22" s="203"/>
      <c r="K22" s="203"/>
      <c r="L22" s="203"/>
      <c r="M22" s="203"/>
      <c r="N22" s="203"/>
      <c r="O22" s="203"/>
      <c r="P22" s="203"/>
      <c r="Q22" s="203">
        <f>Q20</f>
        <v>40</v>
      </c>
      <c r="V22" s="199">
        <v>2033</v>
      </c>
    </row>
    <row r="23" spans="1:28" s="99" customFormat="1" ht="20.25" customHeight="1">
      <c r="B23" s="100"/>
      <c r="C23" s="101"/>
      <c r="D23" s="474"/>
      <c r="E23" s="474"/>
      <c r="F23" s="474"/>
      <c r="G23" s="474"/>
      <c r="H23" s="474"/>
      <c r="I23" s="474"/>
      <c r="J23" s="474"/>
      <c r="K23" s="474"/>
      <c r="L23" s="474"/>
      <c r="M23" s="474"/>
      <c r="N23" s="474"/>
      <c r="O23" s="474"/>
      <c r="P23" s="474"/>
      <c r="Q23" s="474"/>
      <c r="V23" s="99">
        <v>490</v>
      </c>
    </row>
    <row r="24" spans="1:28" s="4" customFormat="1" ht="59.1" customHeight="1">
      <c r="B24" s="228" t="s">
        <v>45</v>
      </c>
      <c r="C24" s="24"/>
      <c r="D24" s="474"/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  <c r="P24" s="474"/>
      <c r="Q24" s="474"/>
      <c r="V24" s="4">
        <v>135</v>
      </c>
    </row>
    <row r="25" spans="1:28" s="34" customFormat="1" ht="247.5" customHeight="1">
      <c r="A25" s="491" t="s">
        <v>46</v>
      </c>
      <c r="B25" s="491"/>
      <c r="C25" s="491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90" t="s">
        <v>57</v>
      </c>
      <c r="O25" s="490"/>
      <c r="P25" s="490"/>
      <c r="Q25" s="490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93" t="str">
        <f>D20</f>
        <v>BLACK</v>
      </c>
      <c r="B26" s="493"/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</row>
    <row r="27" spans="1:28" s="218" customFormat="1" ht="147.75" customHeight="1">
      <c r="A27" s="268">
        <v>1</v>
      </c>
      <c r="B27" s="492" t="str">
        <f>M11</f>
        <v>SINGLE JERRSEY 100%COTTON 190GSM</v>
      </c>
      <c r="C27" s="492"/>
      <c r="D27" s="269" t="s">
        <v>58</v>
      </c>
      <c r="E27" s="269" t="str">
        <f>A26</f>
        <v>BLACK</v>
      </c>
      <c r="F27" s="268" t="s">
        <v>59</v>
      </c>
      <c r="G27" s="270">
        <f>Q22</f>
        <v>40</v>
      </c>
      <c r="H27" s="271">
        <v>1.08</v>
      </c>
      <c r="I27" s="272">
        <f>H27*G27</f>
        <v>43.2</v>
      </c>
      <c r="J27" s="273">
        <f>ROUNDUP(I27*1%,0)+ROUNDUP(I27/55*0.5,0)</f>
        <v>2</v>
      </c>
      <c r="K27" s="273">
        <v>3</v>
      </c>
      <c r="L27" s="273">
        <v>0</v>
      </c>
      <c r="M27" s="274">
        <f>ROUNDUP(I27+J27+K27+L27,0)</f>
        <v>49</v>
      </c>
      <c r="N27" s="494" t="s">
        <v>225</v>
      </c>
      <c r="O27" s="494"/>
      <c r="P27" s="494"/>
      <c r="Q27" s="494"/>
    </row>
    <row r="28" spans="1:28" s="218" customFormat="1" ht="147.75" customHeight="1">
      <c r="A28" s="268">
        <v>2</v>
      </c>
      <c r="B28" s="492" t="s">
        <v>60</v>
      </c>
      <c r="C28" s="492"/>
      <c r="D28" s="269" t="s">
        <v>61</v>
      </c>
      <c r="E28" s="269" t="str">
        <f>E27</f>
        <v>BLACK</v>
      </c>
      <c r="F28" s="268" t="s">
        <v>59</v>
      </c>
      <c r="G28" s="270">
        <f>G27</f>
        <v>40</v>
      </c>
      <c r="H28" s="271">
        <v>2.5000000000000001E-2</v>
      </c>
      <c r="I28" s="272">
        <f>H28*G28</f>
        <v>1</v>
      </c>
      <c r="J28" s="273">
        <f>ROUNDUP(I28*2.5%,0)+ROUNDUP(I28/40*0.5,0)</f>
        <v>2</v>
      </c>
      <c r="K28" s="273">
        <v>0</v>
      </c>
      <c r="L28" s="273">
        <v>0</v>
      </c>
      <c r="M28" s="274">
        <f>ROUNDUP(I28+J28+K28+L28,0)</f>
        <v>3</v>
      </c>
      <c r="N28" s="494" t="s">
        <v>226</v>
      </c>
      <c r="O28" s="494"/>
      <c r="P28" s="494"/>
      <c r="Q28" s="494"/>
    </row>
    <row r="29" spans="1:28" s="34" customFormat="1" ht="21.75" customHeight="1">
      <c r="A29" s="444"/>
      <c r="B29" s="444"/>
      <c r="C29" s="444"/>
      <c r="D29" s="444"/>
      <c r="E29" s="444"/>
      <c r="F29" s="444"/>
      <c r="G29" s="444"/>
      <c r="H29" s="444"/>
      <c r="I29" s="444"/>
      <c r="J29" s="444"/>
      <c r="K29" s="444"/>
      <c r="L29" s="444"/>
      <c r="M29" s="444"/>
      <c r="N29" s="444"/>
      <c r="O29" s="444"/>
      <c r="P29" s="444"/>
      <c r="Q29" s="444"/>
    </row>
    <row r="30" spans="1:28" s="6" customFormat="1" ht="66.75" customHeight="1" thickBot="1">
      <c r="B30" s="275" t="s">
        <v>62</v>
      </c>
      <c r="C30" s="276"/>
      <c r="D30" s="276"/>
      <c r="E30" s="276"/>
      <c r="G30" s="9"/>
      <c r="Q30" s="277"/>
    </row>
    <row r="31" spans="1:28" s="34" customFormat="1" ht="132.75" customHeight="1">
      <c r="A31" s="441" t="s">
        <v>63</v>
      </c>
      <c r="B31" s="442"/>
      <c r="C31" s="442"/>
      <c r="D31" s="442"/>
      <c r="E31" s="443"/>
      <c r="F31" s="284" t="s">
        <v>64</v>
      </c>
      <c r="G31" s="284" t="s">
        <v>65</v>
      </c>
      <c r="H31" s="497" t="s">
        <v>66</v>
      </c>
      <c r="I31" s="498"/>
      <c r="J31" s="286" t="s">
        <v>49</v>
      </c>
      <c r="K31" s="284" t="s">
        <v>67</v>
      </c>
      <c r="L31" s="284" t="s">
        <v>68</v>
      </c>
      <c r="M31" s="285" t="s">
        <v>69</v>
      </c>
      <c r="N31" s="285" t="s">
        <v>70</v>
      </c>
      <c r="O31" s="285" t="s">
        <v>71</v>
      </c>
      <c r="P31" s="497" t="s">
        <v>72</v>
      </c>
      <c r="Q31" s="498"/>
    </row>
    <row r="32" spans="1:28" s="5" customFormat="1" ht="111.75" customHeight="1">
      <c r="A32" s="287">
        <v>1</v>
      </c>
      <c r="B32" s="465" t="s">
        <v>73</v>
      </c>
      <c r="C32" s="465"/>
      <c r="D32" s="465"/>
      <c r="E32" s="465"/>
      <c r="F32" s="278" t="str">
        <f>H32</f>
        <v>BLACK</v>
      </c>
      <c r="G32" s="283" t="s">
        <v>40</v>
      </c>
      <c r="H32" s="467" t="str">
        <f t="shared" ref="H32:H34" si="2">$D$20</f>
        <v>BLACK</v>
      </c>
      <c r="I32" s="468" t="str">
        <f t="shared" ref="I32:I34" si="3">$E$27</f>
        <v>BLACK</v>
      </c>
      <c r="J32" s="280" t="s">
        <v>74</v>
      </c>
      <c r="K32" s="280">
        <f t="shared" ref="K32:K34" si="4">$Q$20</f>
        <v>40</v>
      </c>
      <c r="L32" s="298">
        <f>130/4500</f>
        <v>2.8888888888888888E-2</v>
      </c>
      <c r="M32" s="281">
        <f t="shared" ref="M32" si="5">K32*L32</f>
        <v>1.1555555555555554</v>
      </c>
      <c r="N32" s="281"/>
      <c r="O32" s="282">
        <f t="shared" ref="O32:O34" si="6">ROUNDUP(N32+M32,0)</f>
        <v>2</v>
      </c>
      <c r="P32" s="469" t="s">
        <v>75</v>
      </c>
      <c r="Q32" s="470"/>
    </row>
    <row r="33" spans="1:17" s="5" customFormat="1" ht="111.75" customHeight="1">
      <c r="A33" s="287">
        <v>2</v>
      </c>
      <c r="B33" s="466" t="s">
        <v>76</v>
      </c>
      <c r="C33" s="465"/>
      <c r="D33" s="465"/>
      <c r="E33" s="465"/>
      <c r="F33" s="278" t="s">
        <v>77</v>
      </c>
      <c r="G33" s="279" t="s">
        <v>78</v>
      </c>
      <c r="H33" s="467" t="str">
        <f>$D$20</f>
        <v>BLACK</v>
      </c>
      <c r="I33" s="468" t="str">
        <f t="shared" si="3"/>
        <v>BLACK</v>
      </c>
      <c r="J33" s="280" t="s">
        <v>79</v>
      </c>
      <c r="K33" s="280">
        <f t="shared" si="4"/>
        <v>40</v>
      </c>
      <c r="L33" s="280">
        <v>1</v>
      </c>
      <c r="M33" s="280">
        <f t="shared" ref="M33:M34" si="7">L33*K33</f>
        <v>40</v>
      </c>
      <c r="N33" s="281"/>
      <c r="O33" s="282">
        <f t="shared" si="6"/>
        <v>40</v>
      </c>
      <c r="P33" s="469" t="s">
        <v>75</v>
      </c>
      <c r="Q33" s="470"/>
    </row>
    <row r="34" spans="1:17" s="5" customFormat="1" ht="118.5" customHeight="1">
      <c r="A34" s="287">
        <v>3</v>
      </c>
      <c r="B34" s="466" t="s">
        <v>80</v>
      </c>
      <c r="C34" s="465"/>
      <c r="D34" s="465"/>
      <c r="E34" s="465"/>
      <c r="F34" s="278" t="s">
        <v>81</v>
      </c>
      <c r="G34" s="283" t="s">
        <v>82</v>
      </c>
      <c r="H34" s="467" t="str">
        <f t="shared" si="2"/>
        <v>BLACK</v>
      </c>
      <c r="I34" s="468" t="str">
        <f t="shared" si="3"/>
        <v>BLACK</v>
      </c>
      <c r="J34" s="280" t="s">
        <v>79</v>
      </c>
      <c r="K34" s="280">
        <f t="shared" si="4"/>
        <v>40</v>
      </c>
      <c r="L34" s="280">
        <v>1</v>
      </c>
      <c r="M34" s="280">
        <f t="shared" si="7"/>
        <v>40</v>
      </c>
      <c r="N34" s="281"/>
      <c r="O34" s="282">
        <f t="shared" si="6"/>
        <v>40</v>
      </c>
      <c r="P34" s="469" t="s">
        <v>75</v>
      </c>
      <c r="Q34" s="470"/>
    </row>
    <row r="35" spans="1:17" s="98" customFormat="1" ht="65.25" customHeight="1">
      <c r="B35" s="232" t="s">
        <v>83</v>
      </c>
      <c r="C35" s="229"/>
      <c r="D35" s="229"/>
      <c r="E35" s="229"/>
      <c r="G35" s="230"/>
      <c r="Q35" s="231"/>
    </row>
    <row r="36" spans="1:17" s="34" customFormat="1" ht="130.5" customHeight="1">
      <c r="A36" s="491" t="s">
        <v>63</v>
      </c>
      <c r="B36" s="491"/>
      <c r="C36" s="491"/>
      <c r="D36" s="491"/>
      <c r="E36" s="491"/>
      <c r="F36" s="238" t="s">
        <v>64</v>
      </c>
      <c r="G36" s="238" t="s">
        <v>65</v>
      </c>
      <c r="H36" s="490" t="s">
        <v>66</v>
      </c>
      <c r="I36" s="490"/>
      <c r="J36" s="237" t="s">
        <v>49</v>
      </c>
      <c r="K36" s="238" t="s">
        <v>67</v>
      </c>
      <c r="L36" s="238" t="s">
        <v>68</v>
      </c>
      <c r="M36" s="238" t="s">
        <v>69</v>
      </c>
      <c r="N36" s="238" t="s">
        <v>70</v>
      </c>
      <c r="O36" s="238" t="s">
        <v>71</v>
      </c>
      <c r="P36" s="490" t="s">
        <v>72</v>
      </c>
      <c r="Q36" s="490"/>
    </row>
    <row r="37" spans="1:17" s="242" customFormat="1" ht="220.5" customHeight="1">
      <c r="A37" s="180">
        <v>1</v>
      </c>
      <c r="B37" s="461" t="s">
        <v>84</v>
      </c>
      <c r="C37" s="607"/>
      <c r="D37" s="607"/>
      <c r="E37" s="462"/>
      <c r="F37" s="262" t="s">
        <v>85</v>
      </c>
      <c r="G37" s="239" t="s">
        <v>86</v>
      </c>
      <c r="H37" s="608" t="str">
        <f>$A$26</f>
        <v>BLACK</v>
      </c>
      <c r="I37" s="609"/>
      <c r="J37" s="181" t="s">
        <v>87</v>
      </c>
      <c r="K37" s="181">
        <f>$Q$22</f>
        <v>40</v>
      </c>
      <c r="L37" s="240">
        <v>1</v>
      </c>
      <c r="M37" s="181">
        <f>K37*L37</f>
        <v>40</v>
      </c>
      <c r="N37" s="241"/>
      <c r="O37" s="236">
        <f>ROUNDUP(SUM(M37:N37),0)</f>
        <v>40</v>
      </c>
      <c r="P37" s="610" t="s">
        <v>75</v>
      </c>
      <c r="Q37" s="611"/>
    </row>
    <row r="38" spans="1:17" s="242" customFormat="1" ht="75.75" customHeight="1">
      <c r="A38" s="180">
        <v>2</v>
      </c>
      <c r="B38" s="461" t="s">
        <v>88</v>
      </c>
      <c r="C38" s="607"/>
      <c r="D38" s="607"/>
      <c r="E38" s="462"/>
      <c r="F38" s="262" t="s">
        <v>89</v>
      </c>
      <c r="G38" s="243"/>
      <c r="H38" s="608" t="str">
        <f t="shared" ref="H38:H43" si="8">$A$26</f>
        <v>BLACK</v>
      </c>
      <c r="I38" s="609"/>
      <c r="J38" s="181" t="s">
        <v>87</v>
      </c>
      <c r="K38" s="181">
        <f t="shared" ref="K38:K43" si="9">$Q$22</f>
        <v>40</v>
      </c>
      <c r="L38" s="240">
        <v>1</v>
      </c>
      <c r="M38" s="181">
        <f t="shared" ref="M38:M43" si="10">K38*L38</f>
        <v>40</v>
      </c>
      <c r="N38" s="241"/>
      <c r="O38" s="236">
        <f t="shared" ref="O38:O43" si="11">ROUNDUP(SUM(M38:N38),0)</f>
        <v>40</v>
      </c>
      <c r="P38" s="610" t="s">
        <v>90</v>
      </c>
      <c r="Q38" s="611"/>
    </row>
    <row r="39" spans="1:17" s="242" customFormat="1" ht="75.75" customHeight="1">
      <c r="A39" s="180">
        <v>3</v>
      </c>
      <c r="B39" s="461" t="s">
        <v>91</v>
      </c>
      <c r="C39" s="607"/>
      <c r="D39" s="607"/>
      <c r="E39" s="462"/>
      <c r="F39" s="262" t="s">
        <v>89</v>
      </c>
      <c r="G39" s="243"/>
      <c r="H39" s="608" t="str">
        <f t="shared" si="8"/>
        <v>BLACK</v>
      </c>
      <c r="I39" s="609"/>
      <c r="J39" s="181" t="s">
        <v>87</v>
      </c>
      <c r="K39" s="181">
        <f t="shared" si="9"/>
        <v>40</v>
      </c>
      <c r="L39" s="240">
        <v>1</v>
      </c>
      <c r="M39" s="181">
        <f t="shared" si="10"/>
        <v>40</v>
      </c>
      <c r="N39" s="241"/>
      <c r="O39" s="236">
        <f t="shared" si="11"/>
        <v>40</v>
      </c>
      <c r="P39" s="610" t="s">
        <v>92</v>
      </c>
      <c r="Q39" s="611"/>
    </row>
    <row r="40" spans="1:17" s="242" customFormat="1" ht="75.75" customHeight="1">
      <c r="A40" s="180">
        <v>4</v>
      </c>
      <c r="B40" s="461" t="s">
        <v>93</v>
      </c>
      <c r="C40" s="607"/>
      <c r="D40" s="607"/>
      <c r="E40" s="462"/>
      <c r="F40" s="262" t="s">
        <v>40</v>
      </c>
      <c r="G40" s="244"/>
      <c r="H40" s="608" t="str">
        <f t="shared" si="8"/>
        <v>BLACK</v>
      </c>
      <c r="I40" s="609"/>
      <c r="J40" s="181" t="s">
        <v>87</v>
      </c>
      <c r="K40" s="181">
        <f t="shared" si="9"/>
        <v>40</v>
      </c>
      <c r="L40" s="240">
        <v>1</v>
      </c>
      <c r="M40" s="181">
        <f t="shared" si="10"/>
        <v>40</v>
      </c>
      <c r="N40" s="241"/>
      <c r="O40" s="236">
        <f t="shared" si="11"/>
        <v>40</v>
      </c>
      <c r="P40" s="610" t="s">
        <v>75</v>
      </c>
      <c r="Q40" s="611"/>
    </row>
    <row r="41" spans="1:17" s="242" customFormat="1" ht="75.75" customHeight="1">
      <c r="A41" s="180">
        <v>5</v>
      </c>
      <c r="B41" s="461" t="s">
        <v>94</v>
      </c>
      <c r="C41" s="607"/>
      <c r="D41" s="607"/>
      <c r="E41" s="462"/>
      <c r="F41" s="262" t="s">
        <v>85</v>
      </c>
      <c r="G41" s="243"/>
      <c r="H41" s="608" t="str">
        <f t="shared" si="8"/>
        <v>BLACK</v>
      </c>
      <c r="I41" s="609"/>
      <c r="J41" s="181" t="s">
        <v>87</v>
      </c>
      <c r="K41" s="181">
        <f t="shared" si="9"/>
        <v>40</v>
      </c>
      <c r="L41" s="240">
        <f>1/40</f>
        <v>2.5000000000000001E-2</v>
      </c>
      <c r="M41" s="240">
        <f t="shared" si="10"/>
        <v>1</v>
      </c>
      <c r="N41" s="241"/>
      <c r="O41" s="236">
        <f t="shared" si="11"/>
        <v>1</v>
      </c>
      <c r="P41" s="610"/>
      <c r="Q41" s="611"/>
    </row>
    <row r="42" spans="1:17" s="242" customFormat="1" ht="75.75" customHeight="1">
      <c r="A42" s="180">
        <v>6</v>
      </c>
      <c r="B42" s="461" t="s">
        <v>95</v>
      </c>
      <c r="C42" s="607"/>
      <c r="D42" s="607"/>
      <c r="E42" s="462"/>
      <c r="F42" s="262" t="s">
        <v>85</v>
      </c>
      <c r="G42" s="243"/>
      <c r="H42" s="608" t="str">
        <f t="shared" si="8"/>
        <v>BLACK</v>
      </c>
      <c r="I42" s="609"/>
      <c r="J42" s="181" t="s">
        <v>87</v>
      </c>
      <c r="K42" s="181">
        <f t="shared" si="9"/>
        <v>40</v>
      </c>
      <c r="L42" s="240">
        <f>2/40</f>
        <v>0.05</v>
      </c>
      <c r="M42" s="241">
        <f t="shared" si="10"/>
        <v>2</v>
      </c>
      <c r="N42" s="241"/>
      <c r="O42" s="236">
        <f>ROUNDUP(SUM(M42:N42),0)</f>
        <v>2</v>
      </c>
      <c r="P42" s="610"/>
      <c r="Q42" s="611"/>
    </row>
    <row r="43" spans="1:17" s="242" customFormat="1" ht="75.75" customHeight="1">
      <c r="A43" s="180">
        <v>7</v>
      </c>
      <c r="B43" s="461" t="s">
        <v>96</v>
      </c>
      <c r="C43" s="607"/>
      <c r="D43" s="607"/>
      <c r="E43" s="462"/>
      <c r="F43" s="234" t="s">
        <v>97</v>
      </c>
      <c r="G43" s="243"/>
      <c r="H43" s="608" t="str">
        <f t="shared" si="8"/>
        <v>BLACK</v>
      </c>
      <c r="I43" s="609"/>
      <c r="J43" s="181" t="s">
        <v>87</v>
      </c>
      <c r="K43" s="181">
        <f t="shared" si="9"/>
        <v>40</v>
      </c>
      <c r="L43" s="240">
        <f>1/40</f>
        <v>2.5000000000000001E-2</v>
      </c>
      <c r="M43" s="240">
        <f t="shared" si="10"/>
        <v>1</v>
      </c>
      <c r="N43" s="241"/>
      <c r="O43" s="236">
        <f t="shared" si="11"/>
        <v>1</v>
      </c>
      <c r="P43" s="610"/>
      <c r="Q43" s="611"/>
    </row>
    <row r="44" spans="1:17" s="15" customFormat="1" ht="15.95" customHeight="1">
      <c r="A44" s="92"/>
      <c r="B44" s="92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</row>
    <row r="45" spans="1:17" s="128" customFormat="1" ht="60" customHeight="1">
      <c r="B45" s="228" t="s">
        <v>98</v>
      </c>
      <c r="C45" s="258"/>
      <c r="D45" s="259"/>
      <c r="E45" s="259"/>
      <c r="F45" s="259"/>
      <c r="G45" s="260"/>
      <c r="H45" s="259"/>
      <c r="I45" s="259"/>
      <c r="J45" s="495" t="s">
        <v>99</v>
      </c>
      <c r="K45" s="495"/>
      <c r="L45" s="495"/>
      <c r="M45" s="495"/>
      <c r="N45" s="495"/>
      <c r="O45" s="255"/>
      <c r="P45" s="255"/>
      <c r="Q45" s="254"/>
    </row>
    <row r="46" spans="1:17" s="245" customFormat="1" ht="51" customHeight="1">
      <c r="A46" s="245">
        <v>1</v>
      </c>
      <c r="B46" s="246" t="s">
        <v>100</v>
      </c>
      <c r="C46" s="98" t="s">
        <v>101</v>
      </c>
      <c r="D46" s="128"/>
      <c r="E46" s="128"/>
      <c r="F46" s="128"/>
      <c r="G46" s="247"/>
      <c r="H46" s="247"/>
      <c r="I46" s="247"/>
      <c r="J46" s="247"/>
      <c r="K46" s="230"/>
      <c r="L46" s="230"/>
      <c r="M46" s="247"/>
      <c r="N46" s="247"/>
      <c r="O46" s="247"/>
      <c r="P46" s="247"/>
      <c r="Q46" s="247"/>
    </row>
    <row r="47" spans="1:17" s="245" customFormat="1" ht="20.25" customHeight="1">
      <c r="B47" s="246"/>
      <c r="C47" s="98"/>
      <c r="D47" s="128"/>
      <c r="E47" s="128"/>
      <c r="F47" s="128"/>
      <c r="G47" s="247"/>
      <c r="H47" s="247"/>
      <c r="I47" s="247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70.5" customHeight="1">
      <c r="A48" s="245"/>
      <c r="B48" s="457" t="s">
        <v>102</v>
      </c>
      <c r="C48" s="458"/>
      <c r="D48" s="458"/>
      <c r="E48" s="458"/>
      <c r="F48" s="458"/>
      <c r="G48" s="458"/>
      <c r="H48" s="458"/>
      <c r="I48" s="458"/>
      <c r="J48" s="496"/>
      <c r="K48" s="230"/>
      <c r="L48" s="230"/>
      <c r="M48" s="247"/>
      <c r="N48" s="247"/>
      <c r="O48" s="247"/>
      <c r="P48" s="247"/>
      <c r="Q48" s="247"/>
    </row>
    <row r="49" spans="1:17" s="128" customFormat="1" ht="70.5" customHeight="1">
      <c r="A49" s="245"/>
      <c r="B49" s="612" t="s">
        <v>66</v>
      </c>
      <c r="C49" s="613"/>
      <c r="D49" s="450" t="s">
        <v>103</v>
      </c>
      <c r="E49" s="451"/>
      <c r="F49" s="451"/>
      <c r="G49" s="451"/>
      <c r="H49" s="451"/>
      <c r="I49" s="451"/>
      <c r="J49" s="452"/>
      <c r="K49" s="247"/>
      <c r="L49" s="247"/>
      <c r="M49" s="247"/>
      <c r="N49" s="247"/>
      <c r="O49" s="247"/>
      <c r="P49" s="247"/>
      <c r="Q49" s="247"/>
    </row>
    <row r="50" spans="1:17" s="128" customFormat="1" ht="145.5" customHeight="1">
      <c r="A50" s="245"/>
      <c r="B50" s="453" t="str">
        <f>$D$20</f>
        <v>BLACK</v>
      </c>
      <c r="C50" s="453" t="str">
        <f t="shared" ref="C50" si="12">$E$27</f>
        <v>BLACK</v>
      </c>
      <c r="D50" s="614" t="s">
        <v>104</v>
      </c>
      <c r="E50" s="615"/>
      <c r="F50" s="615"/>
      <c r="G50" s="615"/>
      <c r="H50" s="615"/>
      <c r="I50" s="615"/>
      <c r="J50" s="616"/>
      <c r="K50" s="247"/>
      <c r="L50" s="247"/>
      <c r="M50" s="247"/>
      <c r="N50" s="247"/>
      <c r="O50" s="247"/>
    </row>
    <row r="51" spans="1:17" s="128" customFormat="1" ht="55.5" customHeight="1">
      <c r="B51" s="617" t="s">
        <v>105</v>
      </c>
      <c r="C51" s="618"/>
      <c r="D51" s="618"/>
      <c r="E51" s="618"/>
      <c r="F51" s="618"/>
      <c r="G51" s="618"/>
      <c r="H51" s="618"/>
      <c r="I51" s="618"/>
      <c r="J51" s="618"/>
    </row>
    <row r="52" spans="1:17" s="128" customFormat="1" ht="42.75" customHeight="1">
      <c r="A52" s="245"/>
      <c r="B52" s="457"/>
      <c r="C52" s="458"/>
      <c r="D52" s="458"/>
      <c r="E52" s="458"/>
      <c r="F52" s="458"/>
      <c r="G52" s="458"/>
      <c r="H52" s="458"/>
      <c r="I52" s="458"/>
      <c r="J52" s="496"/>
      <c r="K52" s="247"/>
      <c r="L52" s="247"/>
    </row>
    <row r="53" spans="1:17" s="128" customFormat="1" ht="55.5" customHeight="1">
      <c r="A53" s="245"/>
      <c r="B53" s="461"/>
      <c r="C53" s="462"/>
      <c r="D53" s="299" t="s">
        <v>106</v>
      </c>
      <c r="E53" s="299" t="s">
        <v>107</v>
      </c>
      <c r="F53" s="299" t="s">
        <v>59</v>
      </c>
      <c r="G53" s="299" t="s">
        <v>108</v>
      </c>
      <c r="H53" s="299" t="s">
        <v>109</v>
      </c>
      <c r="I53" s="299" t="s">
        <v>110</v>
      </c>
      <c r="J53" s="299" t="s">
        <v>37</v>
      </c>
    </row>
    <row r="54" spans="1:17" s="128" customFormat="1" ht="225.75" customHeight="1">
      <c r="A54" s="245"/>
      <c r="B54" s="619" t="s">
        <v>111</v>
      </c>
      <c r="C54" s="619"/>
      <c r="D54" s="261" t="s">
        <v>112</v>
      </c>
      <c r="E54" s="261" t="s">
        <v>112</v>
      </c>
      <c r="F54" s="261" t="s">
        <v>113</v>
      </c>
      <c r="G54" s="261" t="s">
        <v>113</v>
      </c>
      <c r="H54" s="261" t="s">
        <v>113</v>
      </c>
      <c r="I54" s="261" t="s">
        <v>113</v>
      </c>
      <c r="J54" s="261" t="s">
        <v>114</v>
      </c>
    </row>
    <row r="55" spans="1:17" s="128" customFormat="1" ht="54.75" customHeight="1">
      <c r="B55" s="617" t="s">
        <v>115</v>
      </c>
      <c r="C55" s="618"/>
      <c r="D55" s="618"/>
      <c r="E55" s="618"/>
      <c r="F55" s="618"/>
      <c r="G55" s="618"/>
      <c r="H55" s="618"/>
      <c r="I55" s="618"/>
      <c r="J55" s="618"/>
    </row>
    <row r="56" spans="1:17" s="128" customFormat="1" ht="42.75" customHeight="1">
      <c r="A56" s="245"/>
      <c r="B56" s="457"/>
      <c r="C56" s="458"/>
      <c r="D56" s="458"/>
      <c r="E56" s="458"/>
      <c r="F56" s="458"/>
      <c r="G56" s="458"/>
      <c r="H56" s="458"/>
      <c r="I56" s="458"/>
      <c r="J56" s="496"/>
      <c r="K56" s="247"/>
      <c r="L56" s="247"/>
    </row>
    <row r="57" spans="1:17" s="128" customFormat="1" ht="54" customHeight="1">
      <c r="A57" s="245"/>
      <c r="B57" s="461"/>
      <c r="C57" s="462"/>
      <c r="D57" s="299" t="s">
        <v>106</v>
      </c>
      <c r="E57" s="299" t="s">
        <v>107</v>
      </c>
      <c r="F57" s="299" t="s">
        <v>59</v>
      </c>
      <c r="G57" s="299" t="s">
        <v>108</v>
      </c>
      <c r="H57" s="299" t="s">
        <v>109</v>
      </c>
      <c r="I57" s="299" t="s">
        <v>36</v>
      </c>
      <c r="J57" s="299" t="s">
        <v>37</v>
      </c>
    </row>
    <row r="58" spans="1:17" s="128" customFormat="1" ht="223.5" customHeight="1">
      <c r="A58" s="245"/>
      <c r="B58" s="619" t="s">
        <v>116</v>
      </c>
      <c r="C58" s="619"/>
      <c r="D58" s="261" t="s">
        <v>117</v>
      </c>
      <c r="E58" s="261" t="s">
        <v>117</v>
      </c>
      <c r="F58" s="261" t="s">
        <v>118</v>
      </c>
      <c r="G58" s="261" t="s">
        <v>118</v>
      </c>
      <c r="H58" s="261" t="s">
        <v>118</v>
      </c>
      <c r="I58" s="261" t="s">
        <v>118</v>
      </c>
      <c r="J58" s="261" t="s">
        <v>119</v>
      </c>
    </row>
    <row r="59" spans="1:17" s="128" customFormat="1" ht="12.75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7"/>
      <c r="K59" s="247"/>
      <c r="L59" s="247"/>
      <c r="M59" s="247"/>
      <c r="N59" s="247"/>
      <c r="O59" s="247"/>
      <c r="P59" s="247"/>
      <c r="Q59" s="247"/>
    </row>
    <row r="60" spans="1:17" s="245" customFormat="1" ht="51.75" customHeight="1">
      <c r="A60" s="248">
        <v>2</v>
      </c>
      <c r="B60" s="246" t="s">
        <v>120</v>
      </c>
      <c r="C60" s="620" t="s">
        <v>121</v>
      </c>
      <c r="D60" s="620"/>
      <c r="E60" s="620"/>
      <c r="F60" s="620"/>
      <c r="G60" s="247"/>
      <c r="H60" s="247"/>
      <c r="I60" s="247"/>
      <c r="J60" s="247"/>
      <c r="K60" s="230"/>
      <c r="L60" s="230"/>
      <c r="M60" s="247"/>
      <c r="N60" s="247"/>
      <c r="O60" s="247"/>
      <c r="P60" s="247"/>
      <c r="Q60" s="247"/>
    </row>
    <row r="61" spans="1:17" s="128" customFormat="1" ht="36" hidden="1">
      <c r="A61" s="245"/>
      <c r="B61" s="457" t="s">
        <v>102</v>
      </c>
      <c r="C61" s="458"/>
      <c r="D61" s="458"/>
      <c r="E61" s="458"/>
      <c r="F61" s="458"/>
      <c r="G61" s="458"/>
      <c r="H61" s="458"/>
      <c r="I61" s="496"/>
      <c r="J61" s="247"/>
      <c r="K61" s="230"/>
      <c r="L61" s="230"/>
      <c r="M61" s="247"/>
      <c r="N61" s="247"/>
      <c r="O61" s="247"/>
      <c r="P61" s="247"/>
      <c r="Q61" s="247"/>
    </row>
    <row r="62" spans="1:17" s="128" customFormat="1" ht="63" hidden="1" customHeight="1">
      <c r="A62" s="245"/>
      <c r="B62" s="463" t="s">
        <v>66</v>
      </c>
      <c r="C62" s="464"/>
      <c r="D62" s="450" t="s">
        <v>122</v>
      </c>
      <c r="E62" s="451"/>
      <c r="F62" s="451"/>
      <c r="G62" s="451"/>
      <c r="H62" s="451"/>
      <c r="I62" s="452"/>
      <c r="J62" s="247"/>
      <c r="K62" s="247"/>
      <c r="L62" s="247"/>
      <c r="M62" s="247"/>
      <c r="N62" s="247"/>
      <c r="O62" s="247"/>
      <c r="P62" s="247"/>
      <c r="Q62" s="247"/>
    </row>
    <row r="63" spans="1:17" s="128" customFormat="1" ht="72" hidden="1" customHeight="1">
      <c r="A63" s="245"/>
      <c r="B63" s="453" t="str">
        <f>$D$20</f>
        <v>BLACK</v>
      </c>
      <c r="C63" s="453" t="str">
        <f t="shared" ref="C63" si="13">$E$27</f>
        <v>BLACK</v>
      </c>
      <c r="D63" s="454"/>
      <c r="E63" s="455"/>
      <c r="F63" s="455"/>
      <c r="G63" s="455"/>
      <c r="H63" s="455"/>
      <c r="I63" s="456"/>
      <c r="J63" s="247"/>
      <c r="K63" s="247"/>
      <c r="L63" s="247"/>
      <c r="M63" s="247"/>
      <c r="N63" s="247"/>
      <c r="O63" s="247"/>
    </row>
    <row r="64" spans="1:17" s="128" customFormat="1" ht="29.1" hidden="1" customHeight="1">
      <c r="A64" s="245"/>
      <c r="B64" s="249"/>
      <c r="C64" s="250"/>
      <c r="D64" s="251"/>
      <c r="E64" s="252"/>
      <c r="F64" s="252"/>
      <c r="G64" s="252"/>
      <c r="H64" s="252"/>
      <c r="I64" s="253"/>
      <c r="J64" s="247"/>
      <c r="K64" s="247"/>
      <c r="L64" s="247"/>
      <c r="M64" s="247"/>
      <c r="N64" s="247"/>
      <c r="O64" s="247"/>
    </row>
    <row r="65" spans="1:17" s="128" customFormat="1" ht="36" hidden="1">
      <c r="A65" s="245"/>
      <c r="B65" s="457" t="s">
        <v>123</v>
      </c>
      <c r="C65" s="458"/>
      <c r="D65" s="459"/>
      <c r="E65" s="459"/>
      <c r="F65" s="459"/>
      <c r="G65" s="459"/>
      <c r="H65" s="459"/>
      <c r="I65" s="460"/>
      <c r="J65" s="247"/>
      <c r="K65" s="247"/>
      <c r="L65" s="247"/>
    </row>
    <row r="66" spans="1:17" s="128" customFormat="1" ht="56.25" hidden="1" customHeight="1">
      <c r="A66" s="245"/>
      <c r="B66" s="461"/>
      <c r="C66" s="462"/>
      <c r="D66" s="299" t="s">
        <v>106</v>
      </c>
      <c r="E66" s="299" t="s">
        <v>107</v>
      </c>
      <c r="F66" s="299" t="s">
        <v>59</v>
      </c>
      <c r="G66" s="299" t="s">
        <v>108</v>
      </c>
      <c r="H66" s="299" t="s">
        <v>109</v>
      </c>
      <c r="I66" s="299" t="s">
        <v>110</v>
      </c>
      <c r="J66" s="247"/>
    </row>
    <row r="67" spans="1:17" s="128" customFormat="1" ht="24.75" hidden="1" customHeight="1">
      <c r="A67" s="245"/>
      <c r="B67" s="445" t="s">
        <v>124</v>
      </c>
      <c r="C67" s="445"/>
      <c r="D67" s="300"/>
      <c r="E67" s="204"/>
      <c r="F67" s="204"/>
      <c r="G67" s="204"/>
      <c r="H67" s="204"/>
      <c r="I67" s="204"/>
      <c r="J67" s="247"/>
    </row>
    <row r="68" spans="1:17" s="245" customFormat="1" ht="59.25" customHeight="1">
      <c r="A68" s="248">
        <v>3</v>
      </c>
      <c r="B68" s="246" t="s">
        <v>125</v>
      </c>
      <c r="C68" s="98" t="s">
        <v>126</v>
      </c>
      <c r="D68" s="98"/>
      <c r="E68" s="98"/>
      <c r="F68" s="98"/>
      <c r="G68" s="247"/>
      <c r="H68" s="247"/>
      <c r="I68" s="247"/>
      <c r="J68" s="247"/>
      <c r="K68" s="230"/>
      <c r="L68" s="230"/>
      <c r="M68" s="247"/>
      <c r="N68" s="247"/>
      <c r="O68" s="247"/>
      <c r="P68" s="247"/>
      <c r="Q68" s="247"/>
    </row>
    <row r="69" spans="1:17" s="128" customFormat="1" ht="36.6" hidden="1" customHeight="1">
      <c r="A69" s="245"/>
      <c r="B69" s="463" t="s">
        <v>66</v>
      </c>
      <c r="C69" s="464"/>
      <c r="D69" s="450" t="s">
        <v>122</v>
      </c>
      <c r="E69" s="451"/>
      <c r="F69" s="451"/>
      <c r="G69" s="451"/>
      <c r="H69" s="451"/>
      <c r="I69" s="452"/>
      <c r="J69" s="247"/>
      <c r="K69" s="247"/>
      <c r="L69" s="247"/>
      <c r="M69" s="247"/>
      <c r="N69" s="247"/>
      <c r="O69" s="247"/>
      <c r="P69" s="247"/>
      <c r="Q69" s="247"/>
    </row>
    <row r="70" spans="1:17" s="128" customFormat="1" ht="77.099999999999994" hidden="1" customHeight="1">
      <c r="A70" s="245"/>
      <c r="B70" s="453" t="str">
        <f>$D$20</f>
        <v>BLACK</v>
      </c>
      <c r="C70" s="453" t="str">
        <f t="shared" ref="C70" si="14">$E$27</f>
        <v>BLACK</v>
      </c>
      <c r="D70" s="454"/>
      <c r="E70" s="455"/>
      <c r="F70" s="455"/>
      <c r="G70" s="455"/>
      <c r="H70" s="455"/>
      <c r="I70" s="456"/>
      <c r="J70" s="247"/>
      <c r="K70" s="247"/>
      <c r="L70" s="247"/>
      <c r="M70" s="247"/>
      <c r="N70" s="247"/>
      <c r="O70" s="247"/>
    </row>
    <row r="71" spans="1:17" s="128" customFormat="1" ht="36">
      <c r="A71" s="245"/>
      <c r="B71" s="245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</row>
    <row r="72" spans="1:17" s="128" customFormat="1" ht="46.5" customHeight="1">
      <c r="B72" s="495" t="s">
        <v>127</v>
      </c>
      <c r="C72" s="495"/>
      <c r="D72" s="495"/>
      <c r="E72" s="495"/>
      <c r="G72" s="247"/>
      <c r="N72" s="254"/>
      <c r="O72" s="255"/>
      <c r="P72" s="255"/>
      <c r="Q72" s="254"/>
    </row>
    <row r="73" spans="1:17" s="128" customFormat="1" ht="67.5" customHeight="1">
      <c r="A73" s="245">
        <v>1</v>
      </c>
      <c r="B73" s="256" t="s">
        <v>128</v>
      </c>
      <c r="C73" s="245"/>
      <c r="D73" s="245"/>
      <c r="G73" s="247"/>
      <c r="N73" s="254"/>
      <c r="O73" s="255"/>
      <c r="P73" s="255"/>
      <c r="Q73" s="254"/>
    </row>
    <row r="74" spans="1:17" s="128" customFormat="1" ht="67.5" customHeight="1">
      <c r="A74" s="245">
        <v>2</v>
      </c>
      <c r="B74" s="256" t="s">
        <v>129</v>
      </c>
      <c r="C74" s="245"/>
      <c r="D74" s="245"/>
      <c r="G74" s="247"/>
      <c r="N74" s="254"/>
      <c r="O74" s="255"/>
      <c r="P74" s="255"/>
      <c r="Q74" s="254"/>
    </row>
    <row r="75" spans="1:17" s="128" customFormat="1" ht="67.5" customHeight="1">
      <c r="A75" s="245">
        <v>3</v>
      </c>
      <c r="B75" s="256" t="s">
        <v>130</v>
      </c>
      <c r="C75" s="245"/>
      <c r="D75" s="245"/>
      <c r="G75" s="247"/>
      <c r="N75" s="254"/>
      <c r="O75" s="255"/>
      <c r="P75" s="255"/>
      <c r="Q75" s="254"/>
    </row>
    <row r="76" spans="1:17" s="98" customFormat="1" ht="84" customHeight="1">
      <c r="A76" s="248"/>
      <c r="B76" s="301" t="s">
        <v>131</v>
      </c>
      <c r="C76" s="233" t="s">
        <v>106</v>
      </c>
      <c r="D76" s="233" t="s">
        <v>107</v>
      </c>
      <c r="E76" s="233" t="s">
        <v>59</v>
      </c>
      <c r="F76" s="233" t="s">
        <v>108</v>
      </c>
      <c r="G76" s="233" t="s">
        <v>109</v>
      </c>
      <c r="H76" s="233" t="s">
        <v>36</v>
      </c>
      <c r="I76" s="233" t="s">
        <v>37</v>
      </c>
      <c r="J76" s="233" t="s">
        <v>38</v>
      </c>
      <c r="N76" s="231"/>
      <c r="O76" s="257"/>
      <c r="P76" s="257"/>
      <c r="Q76" s="231"/>
    </row>
    <row r="77" spans="1:17" s="98" customFormat="1" ht="84" customHeight="1">
      <c r="A77" s="248"/>
      <c r="B77" s="301" t="s">
        <v>132</v>
      </c>
      <c r="C77" s="235">
        <v>0</v>
      </c>
      <c r="D77" s="235">
        <v>0</v>
      </c>
      <c r="E77" s="235">
        <f>I22</f>
        <v>0</v>
      </c>
      <c r="F77" s="235">
        <f>J22</f>
        <v>0</v>
      </c>
      <c r="G77" s="235">
        <f>K22</f>
        <v>0</v>
      </c>
      <c r="H77" s="235">
        <v>11</v>
      </c>
      <c r="I77" s="235">
        <v>27</v>
      </c>
      <c r="J77" s="235">
        <f>Q22</f>
        <v>40</v>
      </c>
      <c r="N77" s="231"/>
      <c r="O77" s="257"/>
      <c r="P77" s="257"/>
      <c r="Q77" s="231"/>
    </row>
    <row r="78" spans="1:17" s="96" customFormat="1" ht="198.75" customHeight="1">
      <c r="A78" s="582"/>
      <c r="B78" s="583"/>
      <c r="C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</row>
    <row r="79" spans="1:17" s="96" customFormat="1" ht="132.94999999999999" customHeight="1">
      <c r="G79" s="97"/>
    </row>
    <row r="80" spans="1:17" s="96" customFormat="1" ht="33">
      <c r="G80" s="97"/>
    </row>
    <row r="81" spans="7:7" s="96" customFormat="1" ht="33">
      <c r="G81" s="97"/>
    </row>
    <row r="82" spans="7:7" s="96" customFormat="1" ht="33">
      <c r="G82" s="97"/>
    </row>
    <row r="83" spans="7:7" s="96" customFormat="1" ht="33">
      <c r="G83" s="97"/>
    </row>
    <row r="84" spans="7:7" s="96" customFormat="1" ht="33">
      <c r="G84" s="97"/>
    </row>
    <row r="85" spans="7:7" s="96" customFormat="1" ht="33">
      <c r="G85" s="97"/>
    </row>
    <row r="86" spans="7:7" s="96" customFormat="1" ht="33">
      <c r="G86" s="97"/>
    </row>
    <row r="87" spans="7:7" s="96" customFormat="1" ht="33">
      <c r="G87" s="97"/>
    </row>
    <row r="88" spans="7:7" s="96" customFormat="1" ht="33">
      <c r="G88" s="97"/>
    </row>
    <row r="89" spans="7:7" s="96" customFormat="1" ht="33">
      <c r="G89" s="97"/>
    </row>
    <row r="90" spans="7:7" s="96" customFormat="1" ht="33">
      <c r="G90" s="97"/>
    </row>
    <row r="91" spans="7:7" s="96" customFormat="1" ht="33">
      <c r="G91" s="97"/>
    </row>
    <row r="92" spans="7:7" s="96" customFormat="1" ht="33">
      <c r="G92" s="97"/>
    </row>
    <row r="93" spans="7:7" s="96" customFormat="1" ht="33">
      <c r="G93" s="97"/>
    </row>
    <row r="94" spans="7:7" s="96" customFormat="1" ht="33">
      <c r="G94" s="97"/>
    </row>
    <row r="95" spans="7:7" s="96" customFormat="1" ht="33">
      <c r="G95" s="97"/>
    </row>
    <row r="96" spans="7:7" s="96" customFormat="1" ht="33">
      <c r="G96" s="97"/>
    </row>
    <row r="97" spans="7:7" s="96" customFormat="1" ht="33">
      <c r="G97" s="97"/>
    </row>
    <row r="98" spans="7:7" s="96" customFormat="1" ht="33">
      <c r="G98" s="97"/>
    </row>
    <row r="99" spans="7:7" s="96" customFormat="1" ht="33">
      <c r="G99" s="97"/>
    </row>
    <row r="100" spans="7:7" s="96" customFormat="1" ht="33">
      <c r="G100" s="97"/>
    </row>
  </sheetData>
  <autoFilter ref="A31:R3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5">
    <mergeCell ref="B70:C70"/>
    <mergeCell ref="D70:I70"/>
    <mergeCell ref="B72:E72"/>
    <mergeCell ref="A78:Q78"/>
    <mergeCell ref="B63:C63"/>
    <mergeCell ref="D63:I63"/>
    <mergeCell ref="B65:I65"/>
    <mergeCell ref="B66:C66"/>
    <mergeCell ref="B67:C67"/>
    <mergeCell ref="B69:C69"/>
    <mergeCell ref="D69:I69"/>
    <mergeCell ref="B57:C57"/>
    <mergeCell ref="B58:C58"/>
    <mergeCell ref="C60:F60"/>
    <mergeCell ref="B61:I61"/>
    <mergeCell ref="B62:C62"/>
    <mergeCell ref="D62:I62"/>
    <mergeCell ref="B56:J56"/>
    <mergeCell ref="J45:N45"/>
    <mergeCell ref="B48:J48"/>
    <mergeCell ref="B49:C49"/>
    <mergeCell ref="D49:J49"/>
    <mergeCell ref="B50:C50"/>
    <mergeCell ref="D50:J50"/>
    <mergeCell ref="B51:J51"/>
    <mergeCell ref="B52:J52"/>
    <mergeCell ref="B53:C53"/>
    <mergeCell ref="B54:C54"/>
    <mergeCell ref="B55:J55"/>
    <mergeCell ref="B42:E42"/>
    <mergeCell ref="H42:I42"/>
    <mergeCell ref="P42:Q42"/>
    <mergeCell ref="B43:E43"/>
    <mergeCell ref="H43:I43"/>
    <mergeCell ref="P43:Q43"/>
    <mergeCell ref="B40:E40"/>
    <mergeCell ref="H40:I40"/>
    <mergeCell ref="P40:Q40"/>
    <mergeCell ref="B41:E41"/>
    <mergeCell ref="H41:I41"/>
    <mergeCell ref="P41:Q41"/>
    <mergeCell ref="B38:E38"/>
    <mergeCell ref="H38:I38"/>
    <mergeCell ref="P38:Q38"/>
    <mergeCell ref="B39:E39"/>
    <mergeCell ref="H39:I39"/>
    <mergeCell ref="P39:Q39"/>
    <mergeCell ref="A36:E36"/>
    <mergeCell ref="H36:I36"/>
    <mergeCell ref="P36:Q36"/>
    <mergeCell ref="B37:E37"/>
    <mergeCell ref="H37:I37"/>
    <mergeCell ref="P37:Q37"/>
    <mergeCell ref="B33:E33"/>
    <mergeCell ref="H33:I33"/>
    <mergeCell ref="P33:Q33"/>
    <mergeCell ref="B34:E34"/>
    <mergeCell ref="H34:I34"/>
    <mergeCell ref="P34:Q34"/>
    <mergeCell ref="A29:Q29"/>
    <mergeCell ref="A31:E31"/>
    <mergeCell ref="H31:I31"/>
    <mergeCell ref="P31:Q31"/>
    <mergeCell ref="B32:E32"/>
    <mergeCell ref="H32:I32"/>
    <mergeCell ref="P32:Q32"/>
    <mergeCell ref="B28:C28"/>
    <mergeCell ref="N28:Q28"/>
    <mergeCell ref="G5:L8"/>
    <mergeCell ref="D8:F8"/>
    <mergeCell ref="D11:F11"/>
    <mergeCell ref="M11:Q11"/>
    <mergeCell ref="B13:F13"/>
    <mergeCell ref="D23:Q24"/>
    <mergeCell ref="A25:C25"/>
    <mergeCell ref="N25:Q25"/>
    <mergeCell ref="A26:Q26"/>
    <mergeCell ref="B27:C27"/>
    <mergeCell ref="N27:Q2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2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3" max="16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79" customWidth="1"/>
    <col min="2" max="2" width="81.42578125" style="80" hidden="1" customWidth="1"/>
    <col min="3" max="3" width="206" style="80" customWidth="1"/>
    <col min="4" max="4" width="70.570312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  <c r="C2" s="73" t="s">
        <v>135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IB7570</v>
      </c>
      <c r="C3" s="75" t="s">
        <v>136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EAFC FOUNDER’S KIT</v>
      </c>
      <c r="C4" s="75" t="s">
        <v>137</v>
      </c>
      <c r="D4" s="75"/>
      <c r="E4" s="75"/>
    </row>
    <row r="5" spans="1:12" s="74" customFormat="1" ht="75.95" customHeight="1">
      <c r="A5" s="76"/>
      <c r="B5" s="142" t="str">
        <f>'1. CUTTING DOCKET'!$D$20</f>
        <v>BLACK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218</v>
      </c>
      <c r="B6" s="144" t="str">
        <f>'1. CUTTING DOCKET'!$E$27</f>
        <v>BLACK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2" t="s">
        <v>219</v>
      </c>
      <c r="B7" s="624" t="str">
        <f>'1. CUTTING DOCKET'!M11</f>
        <v>HEAVY JERSEY 330GSM</v>
      </c>
      <c r="C7" s="625"/>
      <c r="D7" s="625"/>
      <c r="E7" s="626"/>
    </row>
    <row r="8" spans="1:12" s="77" customFormat="1" ht="409.6" customHeight="1">
      <c r="A8" s="145" t="str">
        <f>'1. CUTTING DOCKET'!D27</f>
        <v>VẢI CHÍNH + VIỀN CỔ</v>
      </c>
      <c r="B8" s="627"/>
      <c r="C8" s="628"/>
      <c r="D8" s="628"/>
      <c r="E8" s="629"/>
      <c r="L8" s="78"/>
    </row>
    <row r="9" spans="1:12" s="77" customFormat="1" ht="94.5" customHeight="1">
      <c r="A9" s="144" t="e">
        <f>'1. CUTTING DOCKET'!#REF!</f>
        <v>#REF!</v>
      </c>
      <c r="B9" s="144" t="str">
        <f>'1. CUTTING DOCKET'!$E$28</f>
        <v>BLACK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24" t="e">
        <f>'1. CUTTING DOCKET'!#REF!</f>
        <v>#REF!</v>
      </c>
      <c r="C13" s="625"/>
      <c r="D13" s="626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27"/>
      <c r="C14" s="628"/>
      <c r="D14" s="628"/>
      <c r="E14" s="333"/>
      <c r="L14" s="78"/>
    </row>
    <row r="15" spans="1:12" s="77" customFormat="1" ht="74.25" customHeight="1">
      <c r="A15" s="144" t="s">
        <v>220</v>
      </c>
      <c r="B15" s="148" t="str">
        <f>'1. CUTTING DOCKET'!$F$33</f>
        <v>BLACK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73</v>
      </c>
      <c r="B16" s="143">
        <f>'1. CUTTING DOCKET'!$G$33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30" t="e">
        <f>'1. CUTTING DOCKET'!#REF!</f>
        <v>#REF!</v>
      </c>
      <c r="C17" s="631"/>
      <c r="D17" s="631"/>
      <c r="E17" s="632"/>
    </row>
    <row r="18" spans="1:5" s="77" customFormat="1" ht="90" customHeight="1">
      <c r="A18" s="144" t="e">
        <f>'1. CUTTING DOCKET'!#REF!</f>
        <v>#REF!</v>
      </c>
      <c r="B18" s="621" t="e">
        <f>'1. CUTTING DOCKET'!#REF!</f>
        <v>#REF!</v>
      </c>
      <c r="C18" s="622"/>
      <c r="D18" s="622"/>
      <c r="E18" s="623"/>
    </row>
    <row r="19" spans="1:5" s="77" customFormat="1" ht="409.6" customHeight="1">
      <c r="A19" s="149" t="s">
        <v>227</v>
      </c>
      <c r="B19" s="633"/>
      <c r="C19" s="634"/>
      <c r="D19" s="634"/>
      <c r="E19" s="634"/>
    </row>
    <row r="20" spans="1:5" s="77" customFormat="1" ht="79.5" customHeight="1">
      <c r="A20" s="144" t="e">
        <f>'1. CUTTING DOCKET'!#REF!</f>
        <v>#REF!</v>
      </c>
      <c r="B20" s="621" t="e">
        <f>'1. CUTTING DOCKET'!#REF!</f>
        <v>#REF!</v>
      </c>
      <c r="C20" s="622"/>
      <c r="D20" s="622"/>
      <c r="E20" s="623"/>
    </row>
    <row r="21" spans="1:5" s="77" customFormat="1" ht="346.5" customHeight="1">
      <c r="A21" s="145" t="s">
        <v>228</v>
      </c>
      <c r="B21" s="635"/>
      <c r="C21" s="636"/>
      <c r="D21" s="636"/>
      <c r="E21" s="637"/>
    </row>
    <row r="22" spans="1:5" s="77" customFormat="1" ht="40.5">
      <c r="A22" s="144" t="e">
        <f>'1. CUTTING DOCKET'!#REF!</f>
        <v>#REF!</v>
      </c>
      <c r="B22" s="621" t="e">
        <f>'1. CUTTING DOCKET'!#REF!</f>
        <v>#REF!</v>
      </c>
      <c r="C22" s="622"/>
      <c r="D22" s="622"/>
      <c r="E22" s="334"/>
    </row>
    <row r="23" spans="1:5" s="77" customFormat="1" ht="299.25" customHeight="1">
      <c r="A23" s="149" t="s">
        <v>229</v>
      </c>
      <c r="B23" s="638"/>
      <c r="C23" s="639"/>
      <c r="D23" s="639"/>
      <c r="E23" s="639"/>
    </row>
    <row r="24" spans="1:5" s="77" customFormat="1" ht="101.45" customHeight="1">
      <c r="A24" s="144" t="e">
        <f>'1. CUTTING DOCKET'!#REF!</f>
        <v>#REF!</v>
      </c>
      <c r="B24" s="621" t="e">
        <f>'1. CUTTING DOCKET'!#REF!</f>
        <v>#REF!</v>
      </c>
      <c r="C24" s="622"/>
      <c r="D24" s="622"/>
      <c r="E24" s="334"/>
    </row>
    <row r="25" spans="1:5" s="77" customFormat="1" ht="362.25" customHeight="1">
      <c r="A25" s="149" t="s">
        <v>230</v>
      </c>
      <c r="B25" s="640" t="s">
        <v>231</v>
      </c>
      <c r="C25" s="641"/>
      <c r="D25" s="641"/>
      <c r="E25" s="335"/>
    </row>
    <row r="26" spans="1:5" s="77" customFormat="1" ht="109.5" customHeight="1">
      <c r="A26" s="144" t="s">
        <v>232</v>
      </c>
      <c r="B26" s="621" t="e">
        <f>'1. CUTTING DOCKET'!#REF!</f>
        <v>#REF!</v>
      </c>
      <c r="C26" s="622"/>
      <c r="D26" s="622"/>
      <c r="E26" s="336"/>
    </row>
    <row r="27" spans="1:5" s="77" customFormat="1" ht="282" customHeight="1">
      <c r="A27" s="149" t="s">
        <v>233</v>
      </c>
      <c r="B27" s="642" t="s">
        <v>234</v>
      </c>
      <c r="C27" s="643"/>
      <c r="D27" s="643"/>
      <c r="E27" s="643"/>
    </row>
    <row r="28" spans="1:5" s="77" customFormat="1" ht="93.6" customHeight="1">
      <c r="A28" s="144" t="e">
        <f>'1. CUTTING DOCKET'!#REF!</f>
        <v>#REF!</v>
      </c>
      <c r="B28" s="621" t="e">
        <f>'1. CUTTING DOCKET'!#REF!</f>
        <v>#REF!</v>
      </c>
      <c r="C28" s="622"/>
      <c r="D28" s="622"/>
      <c r="E28" s="336"/>
    </row>
    <row r="29" spans="1:5" s="77" customFormat="1" ht="273" customHeight="1">
      <c r="A29" s="145" t="s">
        <v>235</v>
      </c>
      <c r="B29" s="644"/>
      <c r="C29" s="645"/>
      <c r="D29" s="645"/>
      <c r="E29" s="645"/>
    </row>
    <row r="30" spans="1:5" s="77" customFormat="1" ht="95.25" customHeight="1">
      <c r="A30" s="144" t="e">
        <f>'1. CUTTING DOCKET'!#REF!</f>
        <v>#REF!</v>
      </c>
      <c r="B30" s="621" t="e">
        <f>'1. CUTTING DOCKET'!#REF!</f>
        <v>#REF!</v>
      </c>
      <c r="C30" s="622"/>
      <c r="D30" s="622"/>
      <c r="E30" s="336"/>
    </row>
    <row r="31" spans="1:5" s="77" customFormat="1" ht="324.75" customHeight="1">
      <c r="A31" s="145"/>
      <c r="B31" s="644"/>
      <c r="C31" s="645"/>
      <c r="D31" s="645"/>
      <c r="E31" s="645"/>
    </row>
    <row r="32" spans="1:5" s="77" customFormat="1" ht="119.45" customHeight="1">
      <c r="A32" s="144" t="s">
        <v>236</v>
      </c>
      <c r="B32" s="621" t="e">
        <f>'1. CUTTING DOCKET'!#REF!</f>
        <v>#REF!</v>
      </c>
      <c r="C32" s="622"/>
      <c r="D32" s="622"/>
      <c r="E32" s="336"/>
    </row>
    <row r="33" spans="1:9" s="77" customFormat="1" ht="287.25" customHeight="1">
      <c r="A33" s="145" t="s">
        <v>237</v>
      </c>
      <c r="B33" s="644"/>
      <c r="C33" s="645"/>
      <c r="D33" s="645"/>
      <c r="E33" s="645"/>
    </row>
    <row r="34" spans="1:9" s="77" customFormat="1" ht="71.45" customHeight="1">
      <c r="A34" s="144" t="s">
        <v>184</v>
      </c>
      <c r="B34" s="621" t="s">
        <v>89</v>
      </c>
      <c r="C34" s="622"/>
      <c r="D34" s="622"/>
      <c r="E34" s="336"/>
    </row>
    <row r="35" spans="1:9" s="77" customFormat="1" ht="87" customHeight="1">
      <c r="A35" s="145" t="s">
        <v>238</v>
      </c>
      <c r="B35" s="644"/>
      <c r="C35" s="645"/>
      <c r="D35" s="645"/>
      <c r="E35" s="645"/>
    </row>
    <row r="36" spans="1:9" s="77" customFormat="1" ht="63.6" customHeight="1">
      <c r="A36" s="144" t="s">
        <v>185</v>
      </c>
      <c r="B36" s="621" t="s">
        <v>97</v>
      </c>
      <c r="C36" s="622"/>
      <c r="D36" s="622"/>
      <c r="E36" s="336"/>
    </row>
    <row r="37" spans="1:9" s="77" customFormat="1" ht="97.5" customHeight="1">
      <c r="A37" s="145" t="s">
        <v>238</v>
      </c>
      <c r="B37" s="644"/>
      <c r="C37" s="645"/>
      <c r="D37" s="645"/>
      <c r="E37" s="645"/>
    </row>
    <row r="38" spans="1:9" s="77" customFormat="1" ht="97.5" customHeight="1">
      <c r="A38" s="337" t="e">
        <f>'1. CUTTING DOCKET'!#REF!</f>
        <v>#REF!</v>
      </c>
      <c r="B38" s="646" t="e">
        <f>'1. CUTTING DOCKET'!#REF!</f>
        <v>#REF!</v>
      </c>
      <c r="C38" s="647"/>
      <c r="D38" s="648"/>
      <c r="E38" s="338"/>
    </row>
    <row r="39" spans="1:9" s="77" customFormat="1" ht="221.45" customHeight="1">
      <c r="A39" s="145"/>
      <c r="B39" s="649"/>
      <c r="C39" s="649"/>
      <c r="D39" s="649"/>
      <c r="E39" s="649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41"/>
    <col min="18" max="18" width="80.425781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239</v>
      </c>
      <c r="C1" s="44" t="s">
        <v>240</v>
      </c>
      <c r="D1" s="650" t="s">
        <v>241</v>
      </c>
      <c r="E1" s="650"/>
      <c r="F1" s="650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242</v>
      </c>
      <c r="C2" s="49" t="s">
        <v>243</v>
      </c>
      <c r="D2" s="651" t="s">
        <v>244</v>
      </c>
      <c r="E2" s="651"/>
      <c r="F2" s="651"/>
      <c r="G2" s="651"/>
      <c r="H2" s="651"/>
      <c r="I2" s="652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245</v>
      </c>
      <c r="B3" s="51" t="s">
        <v>246</v>
      </c>
      <c r="C3" s="51" t="s">
        <v>247</v>
      </c>
      <c r="D3" s="52" t="s">
        <v>107</v>
      </c>
      <c r="E3" s="52" t="s">
        <v>59</v>
      </c>
      <c r="F3" s="52" t="s">
        <v>108</v>
      </c>
      <c r="G3" s="52" t="s">
        <v>109</v>
      </c>
      <c r="H3" s="52" t="s">
        <v>110</v>
      </c>
      <c r="I3" s="53" t="s">
        <v>248</v>
      </c>
      <c r="J3" s="54"/>
      <c r="K3" s="54"/>
    </row>
    <row r="4" spans="1:25" s="61" customFormat="1" ht="27" customHeight="1">
      <c r="A4" s="56">
        <v>1</v>
      </c>
      <c r="B4" s="57" t="s">
        <v>249</v>
      </c>
      <c r="C4" s="57" t="s">
        <v>250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251</v>
      </c>
      <c r="J4" s="60"/>
      <c r="K4" s="60"/>
    </row>
    <row r="5" spans="1:25" s="61" customFormat="1" ht="27" customHeight="1">
      <c r="A5" s="56">
        <v>2</v>
      </c>
      <c r="B5" s="57" t="s">
        <v>252</v>
      </c>
      <c r="C5" s="57" t="s">
        <v>253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251</v>
      </c>
      <c r="J5" s="60"/>
      <c r="K5" s="60"/>
    </row>
    <row r="6" spans="1:25" s="61" customFormat="1" ht="27" customHeight="1">
      <c r="A6" s="56">
        <v>3</v>
      </c>
      <c r="B6" s="42" t="s">
        <v>254</v>
      </c>
      <c r="C6" s="42" t="s">
        <v>255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251</v>
      </c>
      <c r="J6" s="60"/>
      <c r="K6" s="60"/>
    </row>
    <row r="7" spans="1:25" s="61" customFormat="1" ht="27" customHeight="1">
      <c r="A7" s="56">
        <v>4</v>
      </c>
      <c r="B7" s="42" t="s">
        <v>256</v>
      </c>
      <c r="C7" s="42" t="s">
        <v>257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251</v>
      </c>
      <c r="J7" s="60"/>
      <c r="K7" s="60"/>
    </row>
    <row r="8" spans="1:25" s="61" customFormat="1" ht="27" customHeight="1">
      <c r="A8" s="56">
        <v>5</v>
      </c>
      <c r="B8" s="42" t="s">
        <v>258</v>
      </c>
      <c r="C8" s="42" t="s">
        <v>259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260</v>
      </c>
      <c r="J8" s="60"/>
      <c r="K8" s="60"/>
    </row>
    <row r="9" spans="1:25" s="61" customFormat="1" ht="27" customHeight="1">
      <c r="A9" s="56">
        <v>6</v>
      </c>
      <c r="B9" s="42" t="s">
        <v>261</v>
      </c>
      <c r="C9" s="42" t="s">
        <v>262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251</v>
      </c>
      <c r="J9" s="60"/>
      <c r="K9" s="60"/>
    </row>
    <row r="10" spans="1:25" s="61" customFormat="1" ht="27" customHeight="1">
      <c r="A10" s="56">
        <v>7</v>
      </c>
      <c r="B10" s="42" t="s">
        <v>263</v>
      </c>
      <c r="C10" s="42" t="s">
        <v>224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251</v>
      </c>
      <c r="J10" s="60"/>
      <c r="K10" s="60"/>
    </row>
    <row r="11" spans="1:25" s="61" customFormat="1" ht="27" customHeight="1">
      <c r="A11" s="56">
        <v>8</v>
      </c>
      <c r="B11" s="42" t="s">
        <v>264</v>
      </c>
      <c r="C11" s="42" t="s">
        <v>221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265</v>
      </c>
      <c r="C12" s="42" t="s">
        <v>222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260</v>
      </c>
      <c r="J12" s="60"/>
      <c r="K12" s="60"/>
    </row>
    <row r="13" spans="1:25" s="61" customFormat="1" ht="27" customHeight="1">
      <c r="A13" s="56">
        <v>10</v>
      </c>
      <c r="B13" s="42" t="s">
        <v>266</v>
      </c>
      <c r="C13" s="42" t="s">
        <v>267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260</v>
      </c>
      <c r="J13" s="60"/>
      <c r="K13" s="60"/>
    </row>
    <row r="14" spans="1:25" s="61" customFormat="1" ht="27" customHeight="1">
      <c r="A14" s="56">
        <v>11</v>
      </c>
      <c r="B14" s="42" t="s">
        <v>268</v>
      </c>
      <c r="C14" s="42" t="s">
        <v>223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269</v>
      </c>
      <c r="C15" s="42" t="s">
        <v>270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271</v>
      </c>
      <c r="C16" s="42" t="s">
        <v>272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273</v>
      </c>
      <c r="C17" s="66" t="s">
        <v>274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63E8C-D21C-49E1-9830-B4CEC26F428E}">
  <dimension ref="A1:S22"/>
  <sheetViews>
    <sheetView view="pageBreakPreview" topLeftCell="A2" zoomScale="80" zoomScaleNormal="100" zoomScaleSheetLayoutView="80" workbookViewId="0">
      <selection activeCell="L15" sqref="L15:M15"/>
    </sheetView>
  </sheetViews>
  <sheetFormatPr defaultRowHeight="15"/>
  <cols>
    <col min="1" max="1" width="10" customWidth="1"/>
    <col min="3" max="3" width="21.28515625" customWidth="1"/>
    <col min="7" max="7" width="8.28515625" customWidth="1"/>
    <col min="8" max="8" width="36.28515625" customWidth="1"/>
    <col min="9" max="9" width="11.7109375" customWidth="1"/>
    <col min="10" max="18" width="8.85546875" customWidth="1"/>
  </cols>
  <sheetData>
    <row r="1" spans="1:19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  <c r="R1" s="419"/>
    </row>
    <row r="2" spans="1:19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  <c r="R2" s="373"/>
    </row>
    <row r="3" spans="1:19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  <c r="R3" s="378"/>
    </row>
    <row r="4" spans="1:19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  <c r="R4" s="373"/>
    </row>
    <row r="5" spans="1:19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</row>
    <row r="6" spans="1:19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20" t="s">
        <v>59</v>
      </c>
      <c r="O6" s="401" t="s">
        <v>108</v>
      </c>
      <c r="P6" s="401" t="s">
        <v>109</v>
      </c>
      <c r="Q6" s="401" t="s">
        <v>36</v>
      </c>
      <c r="R6" s="425" t="s">
        <v>37</v>
      </c>
      <c r="S6" s="426" t="s">
        <v>452</v>
      </c>
    </row>
    <row r="7" spans="1:19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3">
        <v>2.2999999999999998</v>
      </c>
      <c r="N7" s="423">
        <v>2.2999999999999998</v>
      </c>
      <c r="O7" s="424">
        <v>2.2999999999999998</v>
      </c>
      <c r="P7" s="424">
        <v>2.2999999999999998</v>
      </c>
      <c r="Q7" s="424">
        <v>2.2999999999999998</v>
      </c>
      <c r="R7" s="424">
        <f>Q7</f>
        <v>2.2999999999999998</v>
      </c>
      <c r="S7" s="424">
        <f>R7</f>
        <v>2.2999999999999998</v>
      </c>
    </row>
    <row r="8" spans="1:19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3">
        <v>18</v>
      </c>
      <c r="N8" s="423">
        <v>18</v>
      </c>
      <c r="O8" s="393">
        <f>N8+0.9</f>
        <v>18.899999999999999</v>
      </c>
      <c r="P8" s="393">
        <f t="shared" ref="P8:S8" si="0">O8+0.9</f>
        <v>19.799999999999997</v>
      </c>
      <c r="Q8" s="393">
        <f t="shared" si="0"/>
        <v>20.699999999999996</v>
      </c>
      <c r="R8" s="393">
        <f t="shared" si="0"/>
        <v>21.599999999999994</v>
      </c>
      <c r="S8" s="393">
        <f t="shared" si="0"/>
        <v>22.499999999999993</v>
      </c>
    </row>
    <row r="9" spans="1:19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f>M9-0.3</f>
        <v>2.8000000000000003</v>
      </c>
      <c r="M9" s="393">
        <f>N9</f>
        <v>3.1</v>
      </c>
      <c r="N9" s="407">
        <v>3.1</v>
      </c>
      <c r="O9" s="393">
        <f>N9+0.1</f>
        <v>3.2</v>
      </c>
      <c r="P9" s="393">
        <f t="shared" ref="P9:S9" si="1">O9+0.1</f>
        <v>3.3000000000000003</v>
      </c>
      <c r="Q9" s="393">
        <f t="shared" si="1"/>
        <v>3.4000000000000004</v>
      </c>
      <c r="R9" s="393">
        <f t="shared" si="1"/>
        <v>3.5000000000000004</v>
      </c>
      <c r="S9" s="393">
        <f t="shared" si="1"/>
        <v>3.6000000000000005</v>
      </c>
    </row>
    <row r="10" spans="1:19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f>M10-0.3</f>
        <v>11.399999999999999</v>
      </c>
      <c r="M10" s="393">
        <f>N10</f>
        <v>11.7</v>
      </c>
      <c r="N10" s="407">
        <v>11.7</v>
      </c>
      <c r="O10" s="393">
        <f>N10+0.6</f>
        <v>12.299999999999999</v>
      </c>
      <c r="P10" s="393">
        <f t="shared" ref="P10:S10" si="2">O10+0.6</f>
        <v>12.899999999999999</v>
      </c>
      <c r="Q10" s="393">
        <f t="shared" si="2"/>
        <v>13.499999999999998</v>
      </c>
      <c r="R10" s="393">
        <f t="shared" si="2"/>
        <v>14.099999999999998</v>
      </c>
      <c r="S10" s="393">
        <f t="shared" si="2"/>
        <v>14.699999999999998</v>
      </c>
    </row>
    <row r="11" spans="1:19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3">
        <v>30.5</v>
      </c>
      <c r="N11" s="423">
        <v>30.5</v>
      </c>
      <c r="O11" s="424">
        <v>30.5</v>
      </c>
      <c r="P11" s="424">
        <v>30.5</v>
      </c>
      <c r="Q11" s="424">
        <v>30.5</v>
      </c>
      <c r="R11" s="424">
        <f>Q11</f>
        <v>30.5</v>
      </c>
      <c r="S11" s="424">
        <f>R11</f>
        <v>30.5</v>
      </c>
    </row>
    <row r="12" spans="1:19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f>M12-2</f>
        <v>46.5</v>
      </c>
      <c r="M12" s="393">
        <f>N12</f>
        <v>48.5</v>
      </c>
      <c r="N12" s="407">
        <v>48.5</v>
      </c>
      <c r="O12" s="393">
        <f>N12+2.5</f>
        <v>51</v>
      </c>
      <c r="P12" s="393">
        <f t="shared" ref="P12:S12" si="3">O12+2.5</f>
        <v>53.5</v>
      </c>
      <c r="Q12" s="393">
        <f>P12+2</f>
        <v>55.5</v>
      </c>
      <c r="R12" s="393">
        <f t="shared" si="3"/>
        <v>58</v>
      </c>
      <c r="S12" s="393">
        <f t="shared" si="3"/>
        <v>60.5</v>
      </c>
    </row>
    <row r="13" spans="1:19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3">
        <f>M13</f>
        <v>7</v>
      </c>
      <c r="M13" s="393">
        <f>N13</f>
        <v>7</v>
      </c>
      <c r="N13" s="407">
        <v>7</v>
      </c>
      <c r="O13" s="393">
        <f>N13</f>
        <v>7</v>
      </c>
      <c r="P13" s="393">
        <f t="shared" ref="P13:Q14" si="4">O13</f>
        <v>7</v>
      </c>
      <c r="Q13" s="393">
        <f t="shared" si="4"/>
        <v>7</v>
      </c>
      <c r="R13" s="393">
        <f>Q13</f>
        <v>7</v>
      </c>
      <c r="S13" s="393">
        <f>R13</f>
        <v>7</v>
      </c>
    </row>
    <row r="14" spans="1:19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3">
        <f>M14</f>
        <v>6.5</v>
      </c>
      <c r="M14" s="393">
        <f>N14</f>
        <v>6.5</v>
      </c>
      <c r="N14" s="423">
        <v>6.5</v>
      </c>
      <c r="O14" s="393">
        <f>N14</f>
        <v>6.5</v>
      </c>
      <c r="P14" s="393">
        <f t="shared" si="4"/>
        <v>6.5</v>
      </c>
      <c r="Q14" s="393">
        <f t="shared" si="4"/>
        <v>6.5</v>
      </c>
      <c r="R14" s="393">
        <f>Q14</f>
        <v>6.5</v>
      </c>
      <c r="S14" s="393">
        <f>R14</f>
        <v>6.5</v>
      </c>
    </row>
    <row r="15" spans="1:19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f>M15-1</f>
        <v>66.400000000000006</v>
      </c>
      <c r="M15" s="393">
        <f>N15-1</f>
        <v>67.400000000000006</v>
      </c>
      <c r="N15" s="407">
        <v>68.400000000000006</v>
      </c>
      <c r="O15" s="393">
        <f>N15+2</f>
        <v>70.400000000000006</v>
      </c>
      <c r="P15" s="393">
        <f t="shared" ref="P15:Q15" si="5">O15+2</f>
        <v>72.400000000000006</v>
      </c>
      <c r="Q15" s="393">
        <f t="shared" si="5"/>
        <v>74.400000000000006</v>
      </c>
      <c r="R15" s="393">
        <f>Q15+2</f>
        <v>76.400000000000006</v>
      </c>
      <c r="S15" s="393">
        <f>R15+2</f>
        <v>78.400000000000006</v>
      </c>
    </row>
    <row r="16" spans="1:19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3">
        <f>M16-1</f>
        <v>28.5</v>
      </c>
      <c r="M16" s="393">
        <f>N16-1</f>
        <v>29.5</v>
      </c>
      <c r="N16" s="423">
        <v>30.5</v>
      </c>
      <c r="O16" s="393">
        <f>N16+1</f>
        <v>31.5</v>
      </c>
      <c r="P16" s="393">
        <f>O16+1.9</f>
        <v>33.4</v>
      </c>
      <c r="Q16" s="393">
        <f t="shared" ref="Q16:S16" si="6">P16+1.9</f>
        <v>35.299999999999997</v>
      </c>
      <c r="R16" s="393">
        <f t="shared" si="6"/>
        <v>37.199999999999996</v>
      </c>
      <c r="S16" s="393">
        <f t="shared" si="6"/>
        <v>39.099999999999994</v>
      </c>
    </row>
    <row r="17" spans="1:19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f>M17-4</f>
        <v>50.4</v>
      </c>
      <c r="M17" s="393">
        <f>N17-4</f>
        <v>54.4</v>
      </c>
      <c r="N17" s="423">
        <v>58.4</v>
      </c>
      <c r="O17" s="393">
        <f>N17+4</f>
        <v>62.4</v>
      </c>
      <c r="P17" s="393">
        <f>O17+5</f>
        <v>67.400000000000006</v>
      </c>
      <c r="Q17" s="393">
        <f t="shared" ref="Q17:S17" si="7">P17+5</f>
        <v>72.400000000000006</v>
      </c>
      <c r="R17" s="393">
        <f t="shared" si="7"/>
        <v>77.400000000000006</v>
      </c>
      <c r="S17" s="393">
        <f t="shared" si="7"/>
        <v>82.4</v>
      </c>
    </row>
    <row r="18" spans="1:19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f>M18-1</f>
        <v>78.099999999999994</v>
      </c>
      <c r="M18" s="393">
        <f>N18-1.4</f>
        <v>79.099999999999994</v>
      </c>
      <c r="N18" s="423">
        <v>80.5</v>
      </c>
      <c r="O18" s="393">
        <f>N18+0.9</f>
        <v>81.400000000000006</v>
      </c>
      <c r="P18" s="393">
        <f>O18+1.4</f>
        <v>82.800000000000011</v>
      </c>
      <c r="Q18" s="393">
        <f t="shared" ref="Q18:S18" si="8">P18+1.4</f>
        <v>84.200000000000017</v>
      </c>
      <c r="R18" s="393">
        <f t="shared" si="8"/>
        <v>85.600000000000023</v>
      </c>
      <c r="S18" s="393">
        <f t="shared" si="8"/>
        <v>87.000000000000028</v>
      </c>
    </row>
    <row r="19" spans="1:19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f>M19-0.5</f>
        <v>22</v>
      </c>
      <c r="M19" s="393">
        <f>N19-0.5</f>
        <v>22.5</v>
      </c>
      <c r="N19" s="423">
        <v>23</v>
      </c>
      <c r="O19" s="393">
        <f>N19+1</f>
        <v>24</v>
      </c>
      <c r="P19" s="393">
        <f>O19+1.6</f>
        <v>25.6</v>
      </c>
      <c r="Q19" s="393">
        <f t="shared" ref="Q19:S19" si="9">P19+1.6</f>
        <v>27.200000000000003</v>
      </c>
      <c r="R19" s="393">
        <f t="shared" si="9"/>
        <v>28.800000000000004</v>
      </c>
      <c r="S19" s="393">
        <f t="shared" si="9"/>
        <v>30.400000000000006</v>
      </c>
    </row>
    <row r="20" spans="1:19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>
        <f>M20-0.3</f>
        <v>13.399999999999999</v>
      </c>
      <c r="M20" s="393">
        <f>N20-0.3</f>
        <v>13.7</v>
      </c>
      <c r="N20" s="423">
        <v>14</v>
      </c>
      <c r="O20" s="393">
        <f>N20+0.4</f>
        <v>14.4</v>
      </c>
      <c r="P20" s="393">
        <f t="shared" ref="P20:S20" si="10">O20+0.4</f>
        <v>14.8</v>
      </c>
      <c r="Q20" s="393">
        <f t="shared" si="10"/>
        <v>15.200000000000001</v>
      </c>
      <c r="R20" s="393">
        <f t="shared" si="10"/>
        <v>15.600000000000001</v>
      </c>
      <c r="S20" s="393">
        <f t="shared" si="10"/>
        <v>16</v>
      </c>
    </row>
    <row r="21" spans="1:19" s="397" customFormat="1" ht="35.25" customHeight="1">
      <c r="A21" s="390" t="s">
        <v>400</v>
      </c>
      <c r="B21" s="428" t="s">
        <v>401</v>
      </c>
      <c r="C21" s="428"/>
      <c r="D21" s="429" t="s">
        <v>396</v>
      </c>
      <c r="E21" s="430"/>
      <c r="F21" s="430"/>
      <c r="G21" s="431"/>
      <c r="H21" s="391" t="s">
        <v>411</v>
      </c>
      <c r="I21" s="392" t="s">
        <v>350</v>
      </c>
      <c r="J21" s="393" t="s">
        <v>381</v>
      </c>
      <c r="K21" s="393" t="s">
        <v>381</v>
      </c>
      <c r="L21" s="393">
        <f>M21-4</f>
        <v>47.5</v>
      </c>
      <c r="M21" s="393">
        <f>N21-4</f>
        <v>51.5</v>
      </c>
      <c r="N21" s="423">
        <v>55.5</v>
      </c>
      <c r="O21" s="393">
        <f>N21+4</f>
        <v>59.5</v>
      </c>
      <c r="P21" s="393">
        <f>O21+5</f>
        <v>64.5</v>
      </c>
      <c r="Q21" s="393">
        <f t="shared" ref="Q21:S21" si="11">P21+5</f>
        <v>69.5</v>
      </c>
      <c r="R21" s="393">
        <f t="shared" si="11"/>
        <v>74.5</v>
      </c>
      <c r="S21" s="393">
        <f t="shared" si="11"/>
        <v>79.5</v>
      </c>
    </row>
    <row r="22" spans="1:19" ht="36" customHeight="1">
      <c r="H22" s="411" t="s">
        <v>453</v>
      </c>
      <c r="I22" s="412"/>
      <c r="J22" s="412"/>
      <c r="K22" s="412"/>
      <c r="L22" s="413">
        <f>M22-2</f>
        <v>46.5</v>
      </c>
      <c r="M22" s="406">
        <f>N22</f>
        <v>48.5</v>
      </c>
      <c r="N22" s="407">
        <v>48.5</v>
      </c>
      <c r="O22" s="413">
        <f>N22+2.5</f>
        <v>51</v>
      </c>
      <c r="P22" s="413">
        <f>O22+2.5</f>
        <v>53.5</v>
      </c>
      <c r="Q22" s="413">
        <f>P22+2</f>
        <v>55.5</v>
      </c>
      <c r="R22" s="413">
        <f>Q22+2.5</f>
        <v>58</v>
      </c>
      <c r="S22" s="413">
        <f>R22+2.5</f>
        <v>60.5</v>
      </c>
    </row>
  </sheetData>
  <mergeCells count="38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18:C18"/>
    <mergeCell ref="D18:G18"/>
    <mergeCell ref="B19:C19"/>
    <mergeCell ref="D19:G19"/>
    <mergeCell ref="B20:C20"/>
    <mergeCell ref="D20:G20"/>
  </mergeCells>
  <conditionalFormatting sqref="N7:N22">
    <cfRule type="expression" dxfId="6" priority="1" stopIfTrue="1">
      <formula>#REF!="OUT"</formula>
    </cfRule>
  </conditionalFormatting>
  <dataValidations count="1">
    <dataValidation allowBlank="1" showInputMessage="1" showErrorMessage="1" promptTitle="test" sqref="L7:L12 A7:K21 L22" xr:uid="{42B206EA-5FEB-4962-B9FC-521EC44C396B}"/>
  </dataValidations>
  <pageMargins left="0" right="0" top="0.5" bottom="0.5" header="0" footer="0"/>
  <pageSetup paperSize="9"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E087C-69B7-4555-A0B7-1F275A3B30DF}">
  <dimension ref="A1:S23"/>
  <sheetViews>
    <sheetView view="pageBreakPreview" topLeftCell="C7" zoomScale="80" zoomScaleNormal="100" zoomScaleSheetLayoutView="80" workbookViewId="0">
      <selection activeCell="S18" sqref="S18"/>
    </sheetView>
  </sheetViews>
  <sheetFormatPr defaultRowHeight="15"/>
  <cols>
    <col min="1" max="1" width="10" customWidth="1"/>
    <col min="3" max="3" width="21.28515625" customWidth="1"/>
    <col min="7" max="7" width="8.28515625" customWidth="1"/>
    <col min="8" max="8" width="36.28515625" customWidth="1"/>
    <col min="9" max="9" width="11.7109375" customWidth="1"/>
    <col min="10" max="18" width="8.85546875" customWidth="1"/>
  </cols>
  <sheetData>
    <row r="1" spans="1:19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  <c r="R1" s="419"/>
    </row>
    <row r="2" spans="1:19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  <c r="R2" s="373"/>
    </row>
    <row r="3" spans="1:19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  <c r="R3" s="378"/>
    </row>
    <row r="4" spans="1:19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  <c r="R4" s="373"/>
    </row>
    <row r="5" spans="1:19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</row>
    <row r="6" spans="1:19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  <c r="R6" s="420" t="s">
        <v>37</v>
      </c>
      <c r="S6" s="421" t="s">
        <v>452</v>
      </c>
    </row>
    <row r="7" spans="1:19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  <c r="R7" s="414">
        <f>Q7</f>
        <v>2.2999999999999998</v>
      </c>
      <c r="S7" s="414">
        <f>R7</f>
        <v>2.2999999999999998</v>
      </c>
    </row>
    <row r="8" spans="1:19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  <c r="R8" s="414">
        <f>Q8+0.8</f>
        <v>21.2</v>
      </c>
      <c r="S8" s="414">
        <f>R8+0.8</f>
        <v>22</v>
      </c>
    </row>
    <row r="9" spans="1:19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  <c r="R9" s="414">
        <f>Q9+0.2</f>
        <v>4.2</v>
      </c>
      <c r="S9" s="414">
        <f>R9+0.2</f>
        <v>4.4000000000000004</v>
      </c>
    </row>
    <row r="10" spans="1:19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  <c r="R10" s="414">
        <f>Q10+0.7</f>
        <v>13.7</v>
      </c>
      <c r="S10" s="414">
        <f>R10+0.7</f>
        <v>14.399999999999999</v>
      </c>
    </row>
    <row r="11" spans="1:19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  <c r="R11" s="414">
        <f>Q11</f>
        <v>30.5</v>
      </c>
      <c r="S11" s="414">
        <f>R11</f>
        <v>30.5</v>
      </c>
    </row>
    <row r="12" spans="1:19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  <c r="R12" s="414">
        <f>Q12+2.6</f>
        <v>53.9</v>
      </c>
      <c r="S12" s="414">
        <f>R12+2.6</f>
        <v>56.5</v>
      </c>
    </row>
    <row r="13" spans="1:19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M13</f>
        <v>11.5</v>
      </c>
      <c r="M13" s="394">
        <f>N13</f>
        <v>11.5</v>
      </c>
      <c r="N13" s="415">
        <v>11.5</v>
      </c>
      <c r="O13" s="403">
        <f>N13</f>
        <v>11.5</v>
      </c>
      <c r="P13" s="403">
        <f t="shared" ref="P13:Q14" si="0">O13</f>
        <v>11.5</v>
      </c>
      <c r="Q13" s="403">
        <f t="shared" si="0"/>
        <v>11.5</v>
      </c>
      <c r="R13" s="413">
        <f>Q13</f>
        <v>11.5</v>
      </c>
      <c r="S13" s="413">
        <f>R13</f>
        <v>11.5</v>
      </c>
    </row>
    <row r="14" spans="1:19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M14</f>
        <v>9.5</v>
      </c>
      <c r="M14" s="394">
        <f>N14</f>
        <v>9.5</v>
      </c>
      <c r="N14" s="415">
        <v>9.5</v>
      </c>
      <c r="O14" s="403">
        <f>N14</f>
        <v>9.5</v>
      </c>
      <c r="P14" s="403">
        <f t="shared" si="0"/>
        <v>9.5</v>
      </c>
      <c r="Q14" s="403">
        <f t="shared" si="0"/>
        <v>9.5</v>
      </c>
      <c r="R14" s="413">
        <f>Q14</f>
        <v>9.5</v>
      </c>
      <c r="S14" s="413">
        <f>R14</f>
        <v>9.5</v>
      </c>
    </row>
    <row r="15" spans="1:19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416">
        <f>M15-1</f>
        <v>65.5</v>
      </c>
      <c r="M15" s="416">
        <f>N15-1</f>
        <v>66.5</v>
      </c>
      <c r="N15" s="415">
        <v>67.5</v>
      </c>
      <c r="O15" s="417">
        <f>N15+2</f>
        <v>69.5</v>
      </c>
      <c r="P15" s="417">
        <f t="shared" ref="P15:Q15" si="1">O15+2</f>
        <v>71.5</v>
      </c>
      <c r="Q15" s="417">
        <f t="shared" si="1"/>
        <v>73.5</v>
      </c>
      <c r="R15" s="413">
        <f>Q15+2</f>
        <v>75.5</v>
      </c>
      <c r="S15" s="413">
        <f>R15+2</f>
        <v>77.5</v>
      </c>
    </row>
    <row r="16" spans="1:19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4">
        <f>M16-1</f>
        <v>28.5</v>
      </c>
      <c r="M16" s="394">
        <f>N16-1</f>
        <v>29.5</v>
      </c>
      <c r="N16" s="395">
        <v>30.5</v>
      </c>
      <c r="O16" s="403">
        <f>N16+1</f>
        <v>31.5</v>
      </c>
      <c r="P16" s="403">
        <f>O16+2</f>
        <v>33.5</v>
      </c>
      <c r="Q16" s="403">
        <f>P16+2</f>
        <v>35.5</v>
      </c>
      <c r="R16" s="413">
        <f>Q16+2</f>
        <v>37.5</v>
      </c>
      <c r="S16" s="413">
        <f>R16+2</f>
        <v>39.5</v>
      </c>
    </row>
    <row r="17" spans="1:19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  <c r="R17" s="414">
        <f>Q17+5.5</f>
        <v>75.5</v>
      </c>
      <c r="S17" s="414">
        <f>R17+5.5</f>
        <v>81</v>
      </c>
    </row>
    <row r="18" spans="1:19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406">
        <f>M18-1.3</f>
        <v>80.900000000000006</v>
      </c>
      <c r="M18" s="406">
        <f>N18-1.3</f>
        <v>82.2</v>
      </c>
      <c r="N18" s="407">
        <v>83.5</v>
      </c>
      <c r="O18" s="408">
        <f>N18+1.2</f>
        <v>84.7</v>
      </c>
      <c r="P18" s="408">
        <f>O18+1.2</f>
        <v>85.9</v>
      </c>
      <c r="Q18" s="408">
        <f>P18+1.6</f>
        <v>87.5</v>
      </c>
      <c r="R18" s="413">
        <f>Q18+1.6</f>
        <v>89.1</v>
      </c>
      <c r="S18" s="413">
        <f>R18+1.6</f>
        <v>90.699999999999989</v>
      </c>
    </row>
    <row r="19" spans="1:19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  <c r="R19" s="414">
        <f>Q19+1.3</f>
        <v>26.400000000000002</v>
      </c>
      <c r="S19" s="414">
        <f>R19+1.3</f>
        <v>27.700000000000003</v>
      </c>
    </row>
    <row r="20" spans="1:19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4"/>
      <c r="N20" s="395"/>
      <c r="O20" s="396"/>
      <c r="P20" s="396"/>
      <c r="Q20" s="396"/>
      <c r="R20" s="414"/>
      <c r="S20" s="422"/>
    </row>
    <row r="21" spans="1:19" s="397" customFormat="1" ht="35.25" customHeight="1">
      <c r="A21" s="390" t="s">
        <v>397</v>
      </c>
      <c r="B21" s="428" t="s">
        <v>398</v>
      </c>
      <c r="C21" s="428"/>
      <c r="D21" s="429" t="s">
        <v>399</v>
      </c>
      <c r="E21" s="430"/>
      <c r="F21" s="430"/>
      <c r="G21" s="431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  <c r="R21" s="414">
        <f>Q21+0.4</f>
        <v>15.6</v>
      </c>
      <c r="S21" s="414">
        <f>R21+0.4</f>
        <v>16</v>
      </c>
    </row>
    <row r="22" spans="1:19" s="397" customFormat="1" ht="35.25" customHeight="1">
      <c r="A22" s="390" t="s">
        <v>400</v>
      </c>
      <c r="B22" s="428" t="s">
        <v>401</v>
      </c>
      <c r="C22" s="428"/>
      <c r="D22" s="429" t="s">
        <v>396</v>
      </c>
      <c r="E22" s="430"/>
      <c r="F22" s="430"/>
      <c r="G22" s="431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  <c r="R22" s="414">
        <f>Q22+3.5</f>
        <v>69</v>
      </c>
      <c r="S22" s="414">
        <f>R22+3.5</f>
        <v>72.5</v>
      </c>
    </row>
    <row r="23" spans="1:19" ht="36" customHeight="1">
      <c r="H23" s="418" t="s">
        <v>451</v>
      </c>
      <c r="I23" s="412"/>
      <c r="J23" s="412"/>
      <c r="K23" s="412"/>
      <c r="L23" s="413">
        <v>41.5</v>
      </c>
      <c r="M23" s="406">
        <v>43.5</v>
      </c>
      <c r="N23" s="407">
        <v>43.5</v>
      </c>
      <c r="O23" s="414">
        <v>46</v>
      </c>
      <c r="P23" s="414">
        <v>49</v>
      </c>
      <c r="Q23" s="414">
        <v>51.5</v>
      </c>
      <c r="R23" s="414">
        <v>54</v>
      </c>
      <c r="S23" s="414">
        <v>56.5</v>
      </c>
    </row>
  </sheetData>
  <mergeCells count="40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</mergeCells>
  <conditionalFormatting sqref="N7:N23">
    <cfRule type="expression" dxfId="5" priority="1" stopIfTrue="1">
      <formula>#REF!="OUT"</formula>
    </cfRule>
  </conditionalFormatting>
  <dataValidations count="1">
    <dataValidation allowBlank="1" showInputMessage="1" showErrorMessage="1" promptTitle="test" sqref="A7:K22 L7:L12 L19:L23 L17" xr:uid="{E6FEC2BF-351D-4C72-BCB0-131D514B22A9}"/>
  </dataValidations>
  <pageMargins left="0" right="0" top="0.5" bottom="0.5" header="0" footer="0"/>
  <pageSetup paperSize="9" scale="6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8FCDB-D290-4A47-AA3D-4EB3388D9982}">
  <dimension ref="A1:R23"/>
  <sheetViews>
    <sheetView view="pageBreakPreview" topLeftCell="A7" zoomScale="80" zoomScaleNormal="100" zoomScaleSheetLayoutView="80" workbookViewId="0">
      <selection activeCell="D21" sqref="D21:G21"/>
    </sheetView>
  </sheetViews>
  <sheetFormatPr defaultRowHeight="15"/>
  <cols>
    <col min="1" max="1" width="10" customWidth="1"/>
    <col min="3" max="3" width="21.28515625" customWidth="1"/>
    <col min="7" max="7" width="8.28515625" customWidth="1"/>
    <col min="8" max="8" width="36.28515625" customWidth="1"/>
    <col min="9" max="9" width="11.7109375" customWidth="1"/>
    <col min="10" max="17" width="8.85546875" customWidth="1"/>
  </cols>
  <sheetData>
    <row r="1" spans="1:18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</row>
    <row r="2" spans="1:18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</row>
    <row r="3" spans="1:18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</row>
    <row r="4" spans="1:18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</row>
    <row r="5" spans="1:18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</row>
    <row r="6" spans="1:18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</row>
    <row r="7" spans="1:18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</row>
    <row r="8" spans="1:18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</row>
    <row r="9" spans="1:18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</row>
    <row r="10" spans="1:18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</row>
    <row r="11" spans="1:18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</row>
    <row r="12" spans="1:18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</row>
    <row r="13" spans="1:18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M13</f>
        <v>9.5</v>
      </c>
      <c r="M13" s="394">
        <f>N13</f>
        <v>9.5</v>
      </c>
      <c r="N13" s="407">
        <v>9.5</v>
      </c>
      <c r="O13" s="403">
        <f>N13</f>
        <v>9.5</v>
      </c>
      <c r="P13" s="403">
        <f t="shared" ref="P13:Q14" si="0">O13</f>
        <v>9.5</v>
      </c>
      <c r="Q13" s="403">
        <f t="shared" si="0"/>
        <v>9.5</v>
      </c>
      <c r="R13" s="410" t="s">
        <v>450</v>
      </c>
    </row>
    <row r="14" spans="1:18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M14</f>
        <v>9</v>
      </c>
      <c r="M14" s="394">
        <f>N14</f>
        <v>9</v>
      </c>
      <c r="N14" s="407">
        <v>9</v>
      </c>
      <c r="O14" s="403">
        <f>N14</f>
        <v>9</v>
      </c>
      <c r="P14" s="403">
        <f t="shared" si="0"/>
        <v>9</v>
      </c>
      <c r="Q14" s="403">
        <f t="shared" si="0"/>
        <v>9</v>
      </c>
      <c r="R14" s="410" t="s">
        <v>450</v>
      </c>
    </row>
    <row r="15" spans="1:18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v>68</v>
      </c>
      <c r="M15" s="394">
        <v>69</v>
      </c>
      <c r="N15" s="395">
        <v>70</v>
      </c>
      <c r="O15" s="396">
        <v>72</v>
      </c>
      <c r="P15" s="396">
        <v>74</v>
      </c>
      <c r="Q15" s="396">
        <v>76</v>
      </c>
    </row>
    <row r="16" spans="1:18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4">
        <f>M16-1</f>
        <v>28.5</v>
      </c>
      <c r="M16" s="394">
        <f>N16-1</f>
        <v>29.5</v>
      </c>
      <c r="N16" s="395">
        <v>30.5</v>
      </c>
      <c r="O16" s="403">
        <f>N16+1</f>
        <v>31.5</v>
      </c>
      <c r="P16" s="403">
        <f>O16+2</f>
        <v>33.5</v>
      </c>
      <c r="Q16" s="403">
        <f>P16+2</f>
        <v>35.5</v>
      </c>
    </row>
    <row r="17" spans="1:18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</row>
    <row r="18" spans="1:18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406">
        <f>M18-1.3</f>
        <v>80.900000000000006</v>
      </c>
      <c r="M18" s="406">
        <f>N18-1.3</f>
        <v>82.2</v>
      </c>
      <c r="N18" s="407">
        <v>83.5</v>
      </c>
      <c r="O18" s="408">
        <f>N18+1.2</f>
        <v>84.7</v>
      </c>
      <c r="P18" s="408">
        <f>O18+1.2</f>
        <v>85.9</v>
      </c>
      <c r="Q18" s="408">
        <f>P18+1.6</f>
        <v>87.5</v>
      </c>
      <c r="R18" s="410" t="s">
        <v>448</v>
      </c>
    </row>
    <row r="19" spans="1:18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</row>
    <row r="20" spans="1:18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4"/>
      <c r="N20" s="395"/>
      <c r="O20" s="396"/>
      <c r="P20" s="396"/>
      <c r="Q20" s="396"/>
      <c r="R20" s="409"/>
    </row>
    <row r="21" spans="1:18" s="397" customFormat="1" ht="35.25" customHeight="1">
      <c r="A21" s="390" t="s">
        <v>397</v>
      </c>
      <c r="B21" s="428" t="s">
        <v>398</v>
      </c>
      <c r="C21" s="428"/>
      <c r="D21" s="429" t="s">
        <v>399</v>
      </c>
      <c r="E21" s="430"/>
      <c r="F21" s="430"/>
      <c r="G21" s="431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</row>
    <row r="22" spans="1:18" s="397" customFormat="1" ht="35.25" customHeight="1">
      <c r="A22" s="390" t="s">
        <v>400</v>
      </c>
      <c r="B22" s="428" t="s">
        <v>401</v>
      </c>
      <c r="C22" s="428"/>
      <c r="D22" s="429" t="s">
        <v>396</v>
      </c>
      <c r="E22" s="430"/>
      <c r="F22" s="430"/>
      <c r="G22" s="431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</row>
    <row r="23" spans="1:18" ht="36" customHeight="1">
      <c r="H23" s="411" t="s">
        <v>449</v>
      </c>
      <c r="I23" s="412"/>
      <c r="J23" s="412"/>
      <c r="K23" s="412"/>
      <c r="L23" s="413">
        <v>41.5</v>
      </c>
      <c r="M23" s="406">
        <v>43.5</v>
      </c>
      <c r="N23" s="407">
        <v>43.5</v>
      </c>
      <c r="O23" s="414">
        <v>46</v>
      </c>
      <c r="P23" s="414">
        <v>49</v>
      </c>
      <c r="Q23" s="414">
        <v>51.5</v>
      </c>
    </row>
  </sheetData>
  <mergeCells count="40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</mergeCells>
  <conditionalFormatting sqref="N7:N23">
    <cfRule type="expression" dxfId="4" priority="1" stopIfTrue="1">
      <formula>#REF!="OUT"</formula>
    </cfRule>
  </conditionalFormatting>
  <dataValidations count="1">
    <dataValidation allowBlank="1" showInputMessage="1" showErrorMessage="1" promptTitle="test" sqref="A7:K22 L7:L12 L15 L17 L19:L23" xr:uid="{9E8640F0-8A58-401C-BC0B-F0693C930224}"/>
  </dataValidations>
  <pageMargins left="0" right="0" top="0.5" bottom="0.5" header="0" footer="0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D341D-7BED-4B9B-B3BC-A1622C211B90}">
  <dimension ref="A1:V22"/>
  <sheetViews>
    <sheetView view="pageBreakPreview" topLeftCell="A7" zoomScale="80" zoomScaleNormal="100" zoomScaleSheetLayoutView="80" workbookViewId="0">
      <selection activeCell="Q9" sqref="Q9"/>
    </sheetView>
  </sheetViews>
  <sheetFormatPr defaultRowHeight="15"/>
  <cols>
    <col min="1" max="1" width="3.7109375" customWidth="1"/>
    <col min="3" max="3" width="7.7109375" customWidth="1"/>
    <col min="5" max="5" width="4.7109375" customWidth="1"/>
    <col min="6" max="6" width="9.140625" hidden="1" customWidth="1"/>
    <col min="7" max="7" width="8.28515625" hidden="1" customWidth="1"/>
    <col min="8" max="8" width="36.28515625" customWidth="1"/>
    <col min="9" max="9" width="5.42578125" customWidth="1"/>
    <col min="10" max="10" width="3.85546875" customWidth="1"/>
    <col min="11" max="11" width="5.140625" customWidth="1"/>
    <col min="12" max="21" width="8.85546875" customWidth="1"/>
  </cols>
  <sheetData>
    <row r="1" spans="1:22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/>
      <c r="Q1" s="387"/>
      <c r="R1" s="387"/>
      <c r="S1" s="387"/>
      <c r="T1" s="387" t="s">
        <v>336</v>
      </c>
      <c r="U1" s="387"/>
    </row>
    <row r="2" spans="1:22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8"/>
      <c r="Q2" s="388"/>
      <c r="R2" s="388"/>
      <c r="S2" s="388"/>
      <c r="T2" s="389" t="s">
        <v>59</v>
      </c>
      <c r="U2" s="389"/>
    </row>
    <row r="3" spans="1:22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8"/>
      <c r="U3" s="378"/>
    </row>
    <row r="4" spans="1:22" ht="25.5">
      <c r="A4" s="439" t="s">
        <v>340</v>
      </c>
      <c r="B4" s="439"/>
      <c r="C4" s="439"/>
      <c r="D4" s="440"/>
      <c r="E4" s="440"/>
      <c r="F4" s="379"/>
      <c r="G4" s="379"/>
      <c r="H4" s="405" t="s">
        <v>447</v>
      </c>
      <c r="I4" s="373"/>
      <c r="J4" s="373"/>
      <c r="K4" s="380"/>
      <c r="L4" s="373"/>
      <c r="M4" s="373"/>
      <c r="N4" s="373"/>
      <c r="O4" s="373"/>
      <c r="P4" s="373"/>
      <c r="Q4" s="373"/>
      <c r="R4" s="373"/>
      <c r="S4" s="373"/>
      <c r="T4" s="373"/>
      <c r="U4" s="373"/>
    </row>
    <row r="5" spans="1:22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2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/>
      <c r="N6" s="400" t="s">
        <v>107</v>
      </c>
      <c r="O6" s="400" t="s">
        <v>446</v>
      </c>
      <c r="P6" s="400" t="s">
        <v>59</v>
      </c>
      <c r="Q6" s="400"/>
      <c r="R6" s="401" t="s">
        <v>108</v>
      </c>
      <c r="S6" s="401"/>
      <c r="T6" s="401" t="s">
        <v>109</v>
      </c>
      <c r="U6" s="401" t="s">
        <v>36</v>
      </c>
    </row>
    <row r="7" spans="1:22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4">
        <f>N7</f>
        <v>2.2999999999999998</v>
      </c>
      <c r="M7" s="394"/>
      <c r="N7" s="394">
        <f>P7</f>
        <v>2.2999999999999998</v>
      </c>
      <c r="O7" s="395">
        <v>2.2999999999999998</v>
      </c>
      <c r="P7" s="395">
        <v>2.2999999999999998</v>
      </c>
      <c r="Q7" s="395"/>
      <c r="R7" s="403">
        <f>P7</f>
        <v>2.2999999999999998</v>
      </c>
      <c r="S7" s="403"/>
      <c r="T7" s="403">
        <f>R7</f>
        <v>2.2999999999999998</v>
      </c>
      <c r="U7" s="403">
        <f t="shared" ref="U7" si="0">T7</f>
        <v>2.2999999999999998</v>
      </c>
    </row>
    <row r="8" spans="1:22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f>N8-0.8</f>
        <v>17.739999999999998</v>
      </c>
      <c r="M8" s="393"/>
      <c r="N8" s="394">
        <f>P8</f>
        <v>18.54</v>
      </c>
      <c r="O8" s="395">
        <v>18</v>
      </c>
      <c r="P8" s="395">
        <f>O8*1.03</f>
        <v>18.54</v>
      </c>
      <c r="Q8" s="395"/>
      <c r="R8" s="403">
        <f>P8+0.8</f>
        <v>19.34</v>
      </c>
      <c r="S8" s="403"/>
      <c r="T8" s="403">
        <f>R8+0.8</f>
        <v>20.14</v>
      </c>
      <c r="U8" s="403">
        <f t="shared" ref="U8" si="1">T8+0.8</f>
        <v>20.94</v>
      </c>
    </row>
    <row r="9" spans="1:22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f>N9-0.3</f>
        <v>3.1</v>
      </c>
      <c r="M9" s="393"/>
      <c r="N9" s="394">
        <f>P9</f>
        <v>3.4</v>
      </c>
      <c r="O9" s="395">
        <v>3.4</v>
      </c>
      <c r="P9" s="395">
        <v>3.4</v>
      </c>
      <c r="Q9" s="395"/>
      <c r="R9" s="403">
        <f>P9+0.2</f>
        <v>3.6</v>
      </c>
      <c r="S9" s="403"/>
      <c r="T9" s="403">
        <f>R9+0.2</f>
        <v>3.8000000000000003</v>
      </c>
      <c r="U9" s="403">
        <f t="shared" ref="U9" si="2">T9+0.2</f>
        <v>4</v>
      </c>
    </row>
    <row r="10" spans="1:22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f>N10-0.3</f>
        <v>11.145</v>
      </c>
      <c r="M10" s="393"/>
      <c r="N10" s="394">
        <f>P10</f>
        <v>11.445</v>
      </c>
      <c r="O10" s="395">
        <v>10.9</v>
      </c>
      <c r="P10" s="395">
        <f>O10*1.05</f>
        <v>11.445</v>
      </c>
      <c r="Q10" s="395"/>
      <c r="R10" s="403">
        <f>P10+0.7</f>
        <v>12.145</v>
      </c>
      <c r="S10" s="403"/>
      <c r="T10" s="403">
        <f>R10+0.7</f>
        <v>12.844999999999999</v>
      </c>
      <c r="U10" s="403">
        <f t="shared" ref="U10" si="3">T10+0.7</f>
        <v>13.544999999999998</v>
      </c>
    </row>
    <row r="11" spans="1:22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3"/>
      <c r="N11" s="394">
        <v>30.5</v>
      </c>
      <c r="O11" s="395">
        <v>30.5</v>
      </c>
      <c r="P11" s="395">
        <v>30.5</v>
      </c>
      <c r="Q11" s="395"/>
      <c r="R11" s="396">
        <v>30.5</v>
      </c>
      <c r="S11" s="396"/>
      <c r="T11" s="396">
        <v>30.5</v>
      </c>
      <c r="U11" s="396">
        <v>30.5</v>
      </c>
    </row>
    <row r="12" spans="1:22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f>N12-2</f>
        <v>41.5</v>
      </c>
      <c r="M12" s="393"/>
      <c r="N12" s="394">
        <f>P12</f>
        <v>43.5</v>
      </c>
      <c r="O12" s="395">
        <v>43.5</v>
      </c>
      <c r="P12" s="395">
        <v>43.5</v>
      </c>
      <c r="Q12" s="395"/>
      <c r="R12" s="403">
        <f>P12+2.6</f>
        <v>46.1</v>
      </c>
      <c r="S12" s="403"/>
      <c r="T12" s="403">
        <f>R12+2.6</f>
        <v>48.7</v>
      </c>
      <c r="U12" s="403">
        <f t="shared" ref="U12" si="4">T12+2.6</f>
        <v>51.300000000000004</v>
      </c>
    </row>
    <row r="13" spans="1:22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N13</f>
        <v>8.5</v>
      </c>
      <c r="M13" s="394"/>
      <c r="N13" s="394">
        <f>P13</f>
        <v>8.5</v>
      </c>
      <c r="O13" s="395">
        <v>8.5</v>
      </c>
      <c r="P13" s="395">
        <v>8.5</v>
      </c>
      <c r="Q13" s="395"/>
      <c r="R13" s="403">
        <f>P13</f>
        <v>8.5</v>
      </c>
      <c r="S13" s="403"/>
      <c r="T13" s="403">
        <f>R13</f>
        <v>8.5</v>
      </c>
      <c r="U13" s="403">
        <f t="shared" ref="U13:U14" si="5">T13</f>
        <v>8.5</v>
      </c>
      <c r="V13" s="404" t="s">
        <v>445</v>
      </c>
    </row>
    <row r="14" spans="1:22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N14</f>
        <v>8</v>
      </c>
      <c r="M14" s="394"/>
      <c r="N14" s="394">
        <f>P14</f>
        <v>8</v>
      </c>
      <c r="O14" s="395">
        <v>8</v>
      </c>
      <c r="P14" s="395">
        <v>8</v>
      </c>
      <c r="Q14" s="395"/>
      <c r="R14" s="403">
        <f>P14</f>
        <v>8</v>
      </c>
      <c r="S14" s="403"/>
      <c r="T14" s="403">
        <f>R14</f>
        <v>8</v>
      </c>
      <c r="U14" s="403">
        <f t="shared" si="5"/>
        <v>8</v>
      </c>
      <c r="V14" s="404" t="s">
        <v>445</v>
      </c>
    </row>
    <row r="15" spans="1:22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394">
        <f>N15-1</f>
        <v>71.5</v>
      </c>
      <c r="M15" s="394"/>
      <c r="N15" s="394">
        <f>P15-1</f>
        <v>72.5</v>
      </c>
      <c r="O15" s="395">
        <v>70</v>
      </c>
      <c r="P15" s="395">
        <f>O15*1.05</f>
        <v>73.5</v>
      </c>
      <c r="Q15" s="395"/>
      <c r="R15" s="403">
        <f>P15+2</f>
        <v>75.5</v>
      </c>
      <c r="S15" s="403"/>
      <c r="T15" s="403">
        <f>R15+2</f>
        <v>77.5</v>
      </c>
      <c r="U15" s="403">
        <f t="shared" ref="U15" si="6">T15+2</f>
        <v>79.5</v>
      </c>
    </row>
    <row r="16" spans="1:22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4">
        <f>N16-1</f>
        <v>30.024999999999999</v>
      </c>
      <c r="M16" s="394"/>
      <c r="N16" s="394">
        <f>P16-1</f>
        <v>31.024999999999999</v>
      </c>
      <c r="O16" s="395">
        <v>30.5</v>
      </c>
      <c r="P16" s="395">
        <f>O16*1.05</f>
        <v>32.024999999999999</v>
      </c>
      <c r="Q16" s="395"/>
      <c r="R16" s="403">
        <f>P16+1</f>
        <v>33.024999999999999</v>
      </c>
      <c r="S16" s="403"/>
      <c r="T16" s="403">
        <f>R16+2</f>
        <v>35.024999999999999</v>
      </c>
      <c r="U16" s="403">
        <f>T16+2</f>
        <v>37.024999999999999</v>
      </c>
    </row>
    <row r="17" spans="1:22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4">
        <f>N17-4</f>
        <v>49.68</v>
      </c>
      <c r="M17" s="394"/>
      <c r="N17" s="394">
        <f>P17-4</f>
        <v>53.68</v>
      </c>
      <c r="O17" s="395">
        <v>56</v>
      </c>
      <c r="P17" s="395">
        <f>O17*1.03</f>
        <v>57.68</v>
      </c>
      <c r="Q17" s="395"/>
      <c r="R17" s="403">
        <f>P17+4</f>
        <v>61.68</v>
      </c>
      <c r="S17" s="403"/>
      <c r="T17" s="403">
        <f>R17+4.5</f>
        <v>66.180000000000007</v>
      </c>
      <c r="U17" s="403">
        <f>T17+5.5</f>
        <v>71.680000000000007</v>
      </c>
    </row>
    <row r="18" spans="1:22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394">
        <f>N18-1.3</f>
        <v>87.7</v>
      </c>
      <c r="M18" s="394"/>
      <c r="N18" s="394">
        <f>P18-1.3</f>
        <v>89</v>
      </c>
      <c r="O18" s="395">
        <v>86</v>
      </c>
      <c r="P18" s="395">
        <f>O18*1.05</f>
        <v>90.3</v>
      </c>
      <c r="Q18" s="395"/>
      <c r="R18" s="403">
        <f>P18+1.2</f>
        <v>91.5</v>
      </c>
      <c r="S18" s="403"/>
      <c r="T18" s="403">
        <f>R18+1.2</f>
        <v>92.7</v>
      </c>
      <c r="U18" s="403">
        <f>T18+1.6</f>
        <v>94.3</v>
      </c>
    </row>
    <row r="19" spans="1:22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4">
        <f>N19-1</f>
        <v>20.145</v>
      </c>
      <c r="M19" s="394"/>
      <c r="N19" s="394">
        <f>P19-1</f>
        <v>21.145</v>
      </c>
      <c r="O19" s="395">
        <v>21.5</v>
      </c>
      <c r="P19" s="395">
        <f>O19*1.03</f>
        <v>22.145</v>
      </c>
      <c r="Q19" s="395"/>
      <c r="R19" s="403">
        <f>P19+1</f>
        <v>23.145</v>
      </c>
      <c r="S19" s="403"/>
      <c r="T19" s="403">
        <f>R19+1.3</f>
        <v>24.445</v>
      </c>
      <c r="U19" s="403">
        <f>T19+1.3</f>
        <v>25.745000000000001</v>
      </c>
    </row>
    <row r="20" spans="1:22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3"/>
      <c r="N20" s="394"/>
      <c r="O20" s="395"/>
      <c r="P20" s="395"/>
      <c r="Q20" s="395"/>
      <c r="R20" s="396"/>
      <c r="S20" s="396"/>
      <c r="T20" s="396"/>
      <c r="U20" s="396"/>
      <c r="V20" s="404" t="s">
        <v>444</v>
      </c>
    </row>
    <row r="21" spans="1:22" s="397" customFormat="1" ht="35.25" customHeight="1">
      <c r="A21" s="390" t="s">
        <v>397</v>
      </c>
      <c r="B21" s="428" t="s">
        <v>398</v>
      </c>
      <c r="C21" s="428"/>
      <c r="D21" s="429" t="s">
        <v>399</v>
      </c>
      <c r="E21" s="430"/>
      <c r="F21" s="430"/>
      <c r="G21" s="431"/>
      <c r="H21" s="391" t="s">
        <v>410</v>
      </c>
      <c r="I21" s="392" t="s">
        <v>350</v>
      </c>
      <c r="J21" s="393" t="s">
        <v>355</v>
      </c>
      <c r="K21" s="393" t="s">
        <v>355</v>
      </c>
      <c r="L21" s="394">
        <f>N21-0.3</f>
        <v>13.819999999999999</v>
      </c>
      <c r="M21" s="394"/>
      <c r="N21" s="394">
        <f>P21-0.3</f>
        <v>14.12</v>
      </c>
      <c r="O21" s="395">
        <v>14</v>
      </c>
      <c r="P21" s="395">
        <f>O21*1.03</f>
        <v>14.42</v>
      </c>
      <c r="Q21" s="395"/>
      <c r="R21" s="403">
        <f>P21+0.4</f>
        <v>14.82</v>
      </c>
      <c r="S21" s="403"/>
      <c r="T21" s="403">
        <f>R21+0.4</f>
        <v>15.22</v>
      </c>
      <c r="U21" s="403">
        <f t="shared" ref="U21" si="7">T21+0.4</f>
        <v>15.620000000000001</v>
      </c>
    </row>
    <row r="22" spans="1:22" s="397" customFormat="1" ht="35.25" customHeight="1">
      <c r="A22" s="390" t="s">
        <v>400</v>
      </c>
      <c r="B22" s="428" t="s">
        <v>401</v>
      </c>
      <c r="C22" s="428"/>
      <c r="D22" s="429" t="s">
        <v>396</v>
      </c>
      <c r="E22" s="430"/>
      <c r="F22" s="430"/>
      <c r="G22" s="431"/>
      <c r="H22" s="391" t="s">
        <v>411</v>
      </c>
      <c r="I22" s="392" t="s">
        <v>350</v>
      </c>
      <c r="J22" s="393" t="s">
        <v>381</v>
      </c>
      <c r="K22" s="393" t="s">
        <v>381</v>
      </c>
      <c r="L22" s="394">
        <f>N22-4</f>
        <v>47.620000000000005</v>
      </c>
      <c r="M22" s="394"/>
      <c r="N22" s="394">
        <f>P22-4</f>
        <v>51.620000000000005</v>
      </c>
      <c r="O22" s="395">
        <v>54</v>
      </c>
      <c r="P22" s="395">
        <f>O22*1.03</f>
        <v>55.620000000000005</v>
      </c>
      <c r="Q22" s="395"/>
      <c r="R22" s="403">
        <f>P22+4</f>
        <v>59.620000000000005</v>
      </c>
      <c r="S22" s="403"/>
      <c r="T22" s="403">
        <f>R22+4</f>
        <v>63.620000000000005</v>
      </c>
      <c r="U22" s="403">
        <f>T22+3.5</f>
        <v>67.12</v>
      </c>
    </row>
  </sheetData>
  <mergeCells count="40"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  <mergeCell ref="B15:C15"/>
    <mergeCell ref="D15:G15"/>
    <mergeCell ref="B16:C16"/>
    <mergeCell ref="D16:G16"/>
    <mergeCell ref="B17:C17"/>
    <mergeCell ref="D17:G17"/>
    <mergeCell ref="B12:C12"/>
    <mergeCell ref="D12:G12"/>
    <mergeCell ref="B13:C13"/>
    <mergeCell ref="D13:G13"/>
    <mergeCell ref="B14:C14"/>
    <mergeCell ref="D14:G14"/>
    <mergeCell ref="B9:C9"/>
    <mergeCell ref="D9:G9"/>
    <mergeCell ref="B10:C10"/>
    <mergeCell ref="D10:G10"/>
    <mergeCell ref="B11:C11"/>
    <mergeCell ref="D11:G11"/>
    <mergeCell ref="B6:C6"/>
    <mergeCell ref="D6:G6"/>
    <mergeCell ref="B7:C7"/>
    <mergeCell ref="D7:G7"/>
    <mergeCell ref="B8:C8"/>
    <mergeCell ref="D8:G8"/>
    <mergeCell ref="A1:G1"/>
    <mergeCell ref="I1:J1"/>
    <mergeCell ref="A2:G2"/>
    <mergeCell ref="I2:J2"/>
    <mergeCell ref="A4:C4"/>
    <mergeCell ref="D4:E4"/>
  </mergeCells>
  <conditionalFormatting sqref="O7:O22">
    <cfRule type="expression" dxfId="3" priority="1" stopIfTrue="1">
      <formula>#REF!="OUT"</formula>
    </cfRule>
  </conditionalFormatting>
  <conditionalFormatting sqref="P7:Q22">
    <cfRule type="expression" dxfId="2" priority="2" stopIfTrue="1">
      <formula>#REF!="OUT"</formula>
    </cfRule>
  </conditionalFormatting>
  <dataValidations count="1">
    <dataValidation allowBlank="1" showInputMessage="1" showErrorMessage="1" promptTitle="test" sqref="A7:K22 L8:M12 L20:M20" xr:uid="{3315D83D-E066-4D05-AF30-C39D76979A4F}"/>
  </dataValidations>
  <pageMargins left="0" right="0" top="0.5" bottom="0.5" header="0" footer="0"/>
  <pageSetup paperSize="9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8E0D-418E-46BD-A1EB-133B27DFE764}">
  <dimension ref="A1:R22"/>
  <sheetViews>
    <sheetView view="pageBreakPreview" topLeftCell="A4" zoomScale="80" zoomScaleNormal="100" zoomScaleSheetLayoutView="80" workbookViewId="0">
      <selection activeCell="R9" sqref="R9"/>
    </sheetView>
  </sheetViews>
  <sheetFormatPr defaultRowHeight="15"/>
  <cols>
    <col min="1" max="1" width="10" customWidth="1"/>
    <col min="3" max="3" width="21.28515625" customWidth="1"/>
    <col min="7" max="7" width="8.28515625" customWidth="1"/>
    <col min="8" max="8" width="36.28515625" customWidth="1"/>
    <col min="9" max="9" width="11.7109375" customWidth="1"/>
    <col min="10" max="17" width="8.85546875" customWidth="1"/>
  </cols>
  <sheetData>
    <row r="1" spans="1:18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</row>
    <row r="2" spans="1:18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</row>
    <row r="3" spans="1:18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</row>
    <row r="4" spans="1:18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</row>
    <row r="5" spans="1:18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</row>
    <row r="6" spans="1:18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</row>
    <row r="7" spans="1:18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</row>
    <row r="8" spans="1:18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</row>
    <row r="9" spans="1:18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</row>
    <row r="10" spans="1:18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</row>
    <row r="11" spans="1:18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</row>
    <row r="12" spans="1:18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</row>
    <row r="13" spans="1:18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M13</f>
        <v>8.5</v>
      </c>
      <c r="M13" s="394">
        <f>N13</f>
        <v>8.5</v>
      </c>
      <c r="N13" s="395">
        <v>8.5</v>
      </c>
      <c r="O13" s="403">
        <f>N13</f>
        <v>8.5</v>
      </c>
      <c r="P13" s="403">
        <f t="shared" ref="P13:Q13" si="0">O13</f>
        <v>8.5</v>
      </c>
      <c r="Q13" s="403">
        <f t="shared" si="0"/>
        <v>8.5</v>
      </c>
      <c r="R13" s="404" t="s">
        <v>445</v>
      </c>
    </row>
    <row r="14" spans="1:18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M14</f>
        <v>8</v>
      </c>
      <c r="M14" s="394">
        <f>N14</f>
        <v>8</v>
      </c>
      <c r="N14" s="395">
        <v>8</v>
      </c>
      <c r="O14" s="403">
        <f>N14</f>
        <v>8</v>
      </c>
      <c r="P14" s="403">
        <f t="shared" ref="P14:Q14" si="1">O14</f>
        <v>8</v>
      </c>
      <c r="Q14" s="403">
        <f t="shared" si="1"/>
        <v>8</v>
      </c>
      <c r="R14" s="404" t="s">
        <v>445</v>
      </c>
    </row>
    <row r="15" spans="1:18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v>68</v>
      </c>
      <c r="M15" s="394">
        <v>69</v>
      </c>
      <c r="N15" s="395">
        <v>70</v>
      </c>
      <c r="O15" s="396">
        <v>72</v>
      </c>
      <c r="P15" s="396">
        <v>74</v>
      </c>
      <c r="Q15" s="396">
        <v>76</v>
      </c>
    </row>
    <row r="16" spans="1:18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4">
        <f>M16-1</f>
        <v>28.5</v>
      </c>
      <c r="M16" s="394">
        <f>N16-1</f>
        <v>29.5</v>
      </c>
      <c r="N16" s="395">
        <v>30.5</v>
      </c>
      <c r="O16" s="403">
        <f>N16+1</f>
        <v>31.5</v>
      </c>
      <c r="P16" s="403">
        <f>O16+2</f>
        <v>33.5</v>
      </c>
      <c r="Q16" s="403">
        <f>P16+2</f>
        <v>35.5</v>
      </c>
    </row>
    <row r="17" spans="1:18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</row>
    <row r="18" spans="1:18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v>83.4</v>
      </c>
      <c r="M18" s="394">
        <v>84.7</v>
      </c>
      <c r="N18" s="395">
        <v>86</v>
      </c>
      <c r="O18" s="396">
        <v>87.2</v>
      </c>
      <c r="P18" s="396">
        <v>88.4</v>
      </c>
      <c r="Q18" s="396">
        <v>90</v>
      </c>
    </row>
    <row r="19" spans="1:18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</row>
    <row r="20" spans="1:18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4"/>
      <c r="N20" s="395"/>
      <c r="O20" s="396"/>
      <c r="P20" s="396"/>
      <c r="Q20" s="396"/>
      <c r="R20" s="404" t="s">
        <v>444</v>
      </c>
    </row>
    <row r="21" spans="1:18" s="397" customFormat="1" ht="35.25" customHeight="1">
      <c r="A21" s="390" t="s">
        <v>397</v>
      </c>
      <c r="B21" s="428" t="s">
        <v>398</v>
      </c>
      <c r="C21" s="428"/>
      <c r="D21" s="429" t="s">
        <v>399</v>
      </c>
      <c r="E21" s="430"/>
      <c r="F21" s="430"/>
      <c r="G21" s="431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</row>
    <row r="22" spans="1:18" s="397" customFormat="1" ht="35.25" customHeight="1">
      <c r="A22" s="390" t="s">
        <v>400</v>
      </c>
      <c r="B22" s="428" t="s">
        <v>401</v>
      </c>
      <c r="C22" s="428"/>
      <c r="D22" s="429" t="s">
        <v>396</v>
      </c>
      <c r="E22" s="430"/>
      <c r="F22" s="430"/>
      <c r="G22" s="431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</row>
  </sheetData>
  <mergeCells count="40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</mergeCells>
  <conditionalFormatting sqref="N7:N22">
    <cfRule type="expression" dxfId="1" priority="1" stopIfTrue="1">
      <formula>#REF!="OUT"</formula>
    </cfRule>
  </conditionalFormatting>
  <dataValidations count="1">
    <dataValidation allowBlank="1" showInputMessage="1" showErrorMessage="1" promptTitle="test" sqref="A7:K22 L17:L22 L15 L7:L12" xr:uid="{55004AEA-96B5-4F7A-9C7D-E9F1760FF4AB}"/>
  </dataValidations>
  <pageMargins left="0" right="0" top="0.5" bottom="0.5" header="0" footer="0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0"/>
  <sheetViews>
    <sheetView view="pageBreakPreview" topLeftCell="A46" zoomScale="40" zoomScaleNormal="10" zoomScaleSheetLayoutView="40" zoomScalePageLayoutView="25" workbookViewId="0">
      <selection activeCell="D53" sqref="D53"/>
    </sheetView>
  </sheetViews>
  <sheetFormatPr defaultColWidth="9.140625" defaultRowHeight="16.5"/>
  <cols>
    <col min="1" max="1" width="8.42578125" style="38" customWidth="1"/>
    <col min="2" max="2" width="30" style="38" customWidth="1"/>
    <col min="3" max="3" width="39.85546875" style="38" customWidth="1"/>
    <col min="4" max="4" width="30.42578125" style="38" customWidth="1"/>
    <col min="5" max="5" width="26.7109375" style="38" customWidth="1"/>
    <col min="6" max="6" width="27.5703125" style="38" customWidth="1"/>
    <col min="7" max="7" width="28.85546875" style="39" customWidth="1"/>
    <col min="8" max="8" width="23.140625" style="38" customWidth="1"/>
    <col min="9" max="9" width="21.42578125" style="38" customWidth="1"/>
    <col min="10" max="10" width="28.140625" style="38" customWidth="1"/>
    <col min="11" max="11" width="22.140625" style="38" customWidth="1"/>
    <col min="12" max="12" width="21.5703125" style="38" customWidth="1"/>
    <col min="13" max="13" width="26.85546875" style="38" customWidth="1"/>
    <col min="14" max="14" width="21" style="38" customWidth="1"/>
    <col min="15" max="15" width="23" style="38" customWidth="1"/>
    <col min="16" max="16" width="5.85546875" style="38" customWidth="1"/>
    <col min="17" max="17" width="40.7109375" style="38" customWidth="1"/>
    <col min="18" max="18" width="13.5703125" style="38" bestFit="1" customWidth="1"/>
    <col min="19" max="19" width="10.85546875" style="38" bestFit="1" customWidth="1"/>
    <col min="20" max="21" width="9.140625" style="38"/>
    <col min="22" max="22" width="34.85546875" style="38" customWidth="1"/>
    <col min="23" max="26" width="12.42578125" style="38" bestFit="1" customWidth="1"/>
    <col min="27" max="28" width="9.85546875" style="38" bestFit="1" customWidth="1"/>
    <col min="29" max="16384" width="9.14062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1" t="s">
        <v>0</v>
      </c>
      <c r="O1" s="471" t="s">
        <v>0</v>
      </c>
      <c r="P1" s="477" t="s">
        <v>1</v>
      </c>
      <c r="Q1" s="477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1" t="s">
        <v>2</v>
      </c>
      <c r="O2" s="471" t="s">
        <v>2</v>
      </c>
      <c r="P2" s="478" t="s">
        <v>3</v>
      </c>
      <c r="Q2" s="478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1" t="s">
        <v>4</v>
      </c>
      <c r="O3" s="471" t="s">
        <v>4</v>
      </c>
      <c r="P3" s="479" t="s">
        <v>5</v>
      </c>
      <c r="Q3" s="477"/>
    </row>
    <row r="4" spans="1:17" s="5" customFormat="1" ht="56.25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81" t="s">
        <v>425</v>
      </c>
      <c r="H5" s="482"/>
      <c r="I5" s="482"/>
      <c r="J5" s="482"/>
      <c r="K5" s="482"/>
      <c r="L5" s="483"/>
      <c r="M5" s="13"/>
    </row>
    <row r="6" spans="1:17" s="213" customFormat="1" ht="57.95" customHeight="1">
      <c r="B6" s="214" t="s">
        <v>9</v>
      </c>
      <c r="C6" s="214"/>
      <c r="D6" s="215" t="s">
        <v>330</v>
      </c>
      <c r="E6" s="216"/>
      <c r="F6" s="214"/>
      <c r="G6" s="484"/>
      <c r="H6" s="485"/>
      <c r="I6" s="485"/>
      <c r="J6" s="485"/>
      <c r="K6" s="485"/>
      <c r="L6" s="486"/>
      <c r="M6" s="217"/>
      <c r="N6" s="217"/>
      <c r="O6" s="217"/>
      <c r="P6" s="217"/>
      <c r="Q6" s="217"/>
    </row>
    <row r="7" spans="1:17" s="213" customFormat="1" ht="57.95" customHeight="1">
      <c r="B7" s="214" t="s">
        <v>11</v>
      </c>
      <c r="C7" s="214"/>
      <c r="D7" s="215" t="s">
        <v>329</v>
      </c>
      <c r="E7" s="215"/>
      <c r="F7" s="214"/>
      <c r="G7" s="484"/>
      <c r="H7" s="485"/>
      <c r="I7" s="485"/>
      <c r="J7" s="485"/>
      <c r="K7" s="485"/>
      <c r="L7" s="486"/>
      <c r="M7" s="217"/>
      <c r="N7" s="217"/>
      <c r="O7" s="217"/>
      <c r="P7" s="217"/>
      <c r="Q7" s="217"/>
    </row>
    <row r="8" spans="1:17" s="213" customFormat="1" ht="57.95" customHeight="1" thickBot="1">
      <c r="B8" s="214" t="s">
        <v>13</v>
      </c>
      <c r="C8" s="214"/>
      <c r="D8" s="472" t="s">
        <v>328</v>
      </c>
      <c r="E8" s="472"/>
      <c r="F8" s="472"/>
      <c r="G8" s="487"/>
      <c r="H8" s="488"/>
      <c r="I8" s="488"/>
      <c r="J8" s="488"/>
      <c r="K8" s="488"/>
      <c r="L8" s="489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417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275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75">
        <v>45421</v>
      </c>
      <c r="E11" s="476"/>
      <c r="F11" s="476"/>
      <c r="G11" s="293"/>
      <c r="H11" s="292"/>
      <c r="I11" s="225"/>
      <c r="J11" s="225" t="s">
        <v>22</v>
      </c>
      <c r="K11" s="225"/>
      <c r="L11" s="225"/>
      <c r="M11" s="473" t="s">
        <v>324</v>
      </c>
      <c r="N11" s="473"/>
      <c r="O11" s="473"/>
      <c r="P11" s="473"/>
      <c r="Q11" s="473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80"/>
      <c r="C13" s="480"/>
      <c r="D13" s="480"/>
      <c r="E13" s="480"/>
      <c r="F13" s="480"/>
      <c r="G13" s="295"/>
      <c r="H13" s="296"/>
      <c r="I13" s="225"/>
      <c r="J13" s="225" t="s">
        <v>27</v>
      </c>
      <c r="K13" s="225"/>
      <c r="L13" s="225"/>
      <c r="M13" s="225" t="s">
        <v>325</v>
      </c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326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93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/>
      <c r="H17" s="184"/>
      <c r="I17" s="184" t="s">
        <v>107</v>
      </c>
      <c r="J17" s="184" t="s">
        <v>59</v>
      </c>
      <c r="K17" s="184" t="s">
        <v>108</v>
      </c>
      <c r="L17" s="184"/>
      <c r="M17" s="184"/>
      <c r="N17" s="184"/>
      <c r="O17" s="184"/>
      <c r="P17" s="184"/>
      <c r="Q17" s="185" t="s">
        <v>38</v>
      </c>
    </row>
    <row r="18" spans="1:28" s="186" customFormat="1" ht="93.75" customHeight="1">
      <c r="B18" s="187" t="s">
        <v>39</v>
      </c>
      <c r="C18" s="188"/>
      <c r="D18" s="189" t="s">
        <v>40</v>
      </c>
      <c r="E18" s="190"/>
      <c r="F18" s="191"/>
      <c r="G18" s="205"/>
      <c r="H18" s="205"/>
      <c r="I18" s="205">
        <v>3</v>
      </c>
      <c r="J18" s="205">
        <v>4</v>
      </c>
      <c r="K18" s="205">
        <v>4</v>
      </c>
      <c r="L18" s="205"/>
      <c r="M18" s="205"/>
      <c r="N18" s="191"/>
      <c r="O18" s="191"/>
      <c r="P18" s="191"/>
      <c r="Q18" s="192">
        <f>SUM(E18:P18)</f>
        <v>11</v>
      </c>
      <c r="V18" s="186">
        <v>394</v>
      </c>
    </row>
    <row r="19" spans="1:28" s="186" customFormat="1" ht="93.75" customHeight="1">
      <c r="B19" s="187" t="s">
        <v>41</v>
      </c>
      <c r="C19" s="188"/>
      <c r="D19" s="190" t="str">
        <f>+D18</f>
        <v>BLACK</v>
      </c>
      <c r="E19" s="190"/>
      <c r="F19" s="191"/>
      <c r="G19" s="193"/>
      <c r="H19" s="193"/>
      <c r="I19" s="193">
        <v>0</v>
      </c>
      <c r="J19" s="193">
        <v>0</v>
      </c>
      <c r="K19" s="193">
        <v>0</v>
      </c>
      <c r="L19" s="193"/>
      <c r="M19" s="193"/>
      <c r="N19" s="193"/>
      <c r="O19" s="193"/>
      <c r="P19" s="193"/>
      <c r="Q19" s="192">
        <f>SUM(E19:P19)</f>
        <v>0</v>
      </c>
      <c r="V19" s="186">
        <v>1187</v>
      </c>
    </row>
    <row r="20" spans="1:28" s="199" customFormat="1" ht="93.75" customHeight="1">
      <c r="B20" s="194" t="s">
        <v>42</v>
      </c>
      <c r="C20" s="194"/>
      <c r="D20" s="195" t="str">
        <f>+D19</f>
        <v>BLACK</v>
      </c>
      <c r="E20" s="196"/>
      <c r="F20" s="197"/>
      <c r="G20" s="198"/>
      <c r="H20" s="198"/>
      <c r="I20" s="198">
        <f>SUM(I18:I19)</f>
        <v>3</v>
      </c>
      <c r="J20" s="198">
        <f t="shared" ref="J20:K20" si="0">SUM(J18:J19)</f>
        <v>4</v>
      </c>
      <c r="K20" s="198">
        <f t="shared" si="0"/>
        <v>4</v>
      </c>
      <c r="L20" s="198"/>
      <c r="M20" s="198"/>
      <c r="N20" s="197"/>
      <c r="O20" s="197"/>
      <c r="P20" s="197"/>
      <c r="Q20" s="197">
        <f>SUM(Q18:Q19)</f>
        <v>11</v>
      </c>
      <c r="V20" s="199">
        <v>3588</v>
      </c>
    </row>
    <row r="21" spans="1:28" s="199" customFormat="1" ht="57" customHeight="1">
      <c r="B21" s="365"/>
      <c r="C21" s="365"/>
      <c r="D21" s="366"/>
      <c r="E21" s="367"/>
      <c r="F21" s="368"/>
      <c r="G21" s="369"/>
      <c r="H21" s="369"/>
      <c r="I21" s="369"/>
      <c r="J21" s="369"/>
      <c r="K21" s="369"/>
      <c r="L21" s="369"/>
      <c r="M21" s="369"/>
      <c r="N21" s="368"/>
      <c r="O21" s="368"/>
      <c r="P21" s="368"/>
      <c r="Q21" s="368"/>
    </row>
    <row r="22" spans="1:28" s="199" customFormat="1" ht="94.5" customHeight="1">
      <c r="B22" s="200" t="s">
        <v>44</v>
      </c>
      <c r="C22" s="201"/>
      <c r="D22" s="200"/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>
        <f>Q20</f>
        <v>11</v>
      </c>
      <c r="V22" s="199">
        <v>2033</v>
      </c>
    </row>
    <row r="23" spans="1:28" s="99" customFormat="1" ht="20.25" customHeight="1">
      <c r="B23" s="100"/>
      <c r="C23" s="101"/>
      <c r="D23" s="474"/>
      <c r="E23" s="474"/>
      <c r="F23" s="474"/>
      <c r="G23" s="474"/>
      <c r="H23" s="474"/>
      <c r="I23" s="474"/>
      <c r="J23" s="474"/>
      <c r="K23" s="474"/>
      <c r="L23" s="474"/>
      <c r="M23" s="474"/>
      <c r="N23" s="474"/>
      <c r="O23" s="474"/>
      <c r="P23" s="474"/>
      <c r="Q23" s="474"/>
      <c r="V23" s="99">
        <v>490</v>
      </c>
    </row>
    <row r="24" spans="1:28" s="4" customFormat="1" ht="59.1" customHeight="1">
      <c r="B24" s="228" t="s">
        <v>45</v>
      </c>
      <c r="C24" s="24"/>
      <c r="D24" s="474"/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  <c r="P24" s="474"/>
      <c r="Q24" s="474"/>
      <c r="V24" s="4">
        <v>135</v>
      </c>
    </row>
    <row r="25" spans="1:28" s="34" customFormat="1" ht="247.5" customHeight="1">
      <c r="A25" s="491" t="s">
        <v>46</v>
      </c>
      <c r="B25" s="491"/>
      <c r="C25" s="491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90" t="s">
        <v>57</v>
      </c>
      <c r="O25" s="490"/>
      <c r="P25" s="490"/>
      <c r="Q25" s="490"/>
      <c r="R25" s="370" t="s">
        <v>322</v>
      </c>
      <c r="S25" s="370" t="s">
        <v>327</v>
      </c>
      <c r="T25" s="370" t="s">
        <v>323</v>
      </c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93" t="s">
        <v>40</v>
      </c>
      <c r="B26" s="493"/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</row>
    <row r="27" spans="1:28" s="218" customFormat="1" ht="198" customHeight="1">
      <c r="A27" s="268">
        <v>1</v>
      </c>
      <c r="B27" s="492" t="s">
        <v>433</v>
      </c>
      <c r="C27" s="492"/>
      <c r="D27" s="269" t="s">
        <v>58</v>
      </c>
      <c r="E27" s="269" t="str">
        <f>A26</f>
        <v>BLACK</v>
      </c>
      <c r="F27" s="268" t="s">
        <v>59</v>
      </c>
      <c r="G27" s="270">
        <f>Q22</f>
        <v>11</v>
      </c>
      <c r="H27" s="271">
        <v>1.08</v>
      </c>
      <c r="I27" s="272">
        <f>H27*G27</f>
        <v>11.88</v>
      </c>
      <c r="J27" s="273">
        <f>ROUNDUP(I27*5%,0)+ROUNDUP(I27/55*0.5,0)</f>
        <v>2</v>
      </c>
      <c r="K27" s="273">
        <v>0</v>
      </c>
      <c r="L27" s="273">
        <v>0</v>
      </c>
      <c r="M27" s="274">
        <f>ROUNDUP(I27+J27+K27+L27,0)</f>
        <v>14</v>
      </c>
      <c r="N27" s="494" t="s">
        <v>431</v>
      </c>
      <c r="O27" s="494"/>
      <c r="P27" s="494"/>
      <c r="Q27" s="494"/>
    </row>
    <row r="28" spans="1:28" s="218" customFormat="1" ht="198" customHeight="1">
      <c r="A28" s="268">
        <v>2</v>
      </c>
      <c r="B28" s="492" t="s">
        <v>428</v>
      </c>
      <c r="C28" s="492"/>
      <c r="D28" s="269" t="s">
        <v>429</v>
      </c>
      <c r="E28" s="269" t="str">
        <f>A26</f>
        <v>BLACK</v>
      </c>
      <c r="F28" s="268" t="s">
        <v>59</v>
      </c>
      <c r="G28" s="270">
        <f>G27</f>
        <v>11</v>
      </c>
      <c r="H28" s="271">
        <v>0.06</v>
      </c>
      <c r="I28" s="272">
        <f>H28*G28</f>
        <v>0.65999999999999992</v>
      </c>
      <c r="J28" s="273">
        <f>ROUNDUP(I28*2.5%,0)+ROUNDUP(I28/40*0.5,0)-1</f>
        <v>1</v>
      </c>
      <c r="K28" s="273">
        <v>0</v>
      </c>
      <c r="L28" s="273">
        <v>0</v>
      </c>
      <c r="M28" s="274">
        <f>ROUNDUP(I28+J28+K28+L28,0)</f>
        <v>2</v>
      </c>
      <c r="N28" s="494" t="s">
        <v>432</v>
      </c>
      <c r="O28" s="494"/>
      <c r="P28" s="494"/>
      <c r="Q28" s="494"/>
    </row>
    <row r="29" spans="1:28" s="218" customFormat="1" ht="198" customHeight="1">
      <c r="A29" s="268">
        <v>2</v>
      </c>
      <c r="B29" s="492" t="s">
        <v>430</v>
      </c>
      <c r="C29" s="492"/>
      <c r="D29" s="269" t="s">
        <v>418</v>
      </c>
      <c r="E29" s="269" t="s">
        <v>40</v>
      </c>
      <c r="F29" s="268" t="s">
        <v>59</v>
      </c>
      <c r="G29" s="270">
        <f>G27</f>
        <v>11</v>
      </c>
      <c r="H29" s="271">
        <v>0.06</v>
      </c>
      <c r="I29" s="272">
        <f>H29*G29</f>
        <v>0.65999999999999992</v>
      </c>
      <c r="J29" s="273">
        <f>ROUNDUP(I29*2.5%,0)+ROUNDUP(I29/40*0.5,0)-1</f>
        <v>1</v>
      </c>
      <c r="K29" s="273">
        <v>0</v>
      </c>
      <c r="L29" s="273">
        <v>0</v>
      </c>
      <c r="M29" s="274">
        <f>ROUNDUP(I29+J29+K29+L29,0)</f>
        <v>2</v>
      </c>
      <c r="N29" s="494" t="s">
        <v>427</v>
      </c>
      <c r="O29" s="494"/>
      <c r="P29" s="494"/>
      <c r="Q29" s="494"/>
    </row>
    <row r="30" spans="1:28" s="34" customFormat="1" ht="21.75" customHeight="1">
      <c r="A30" s="444"/>
      <c r="B30" s="444"/>
      <c r="C30" s="444"/>
      <c r="D30" s="444"/>
      <c r="E30" s="444"/>
      <c r="F30" s="444"/>
      <c r="G30" s="444"/>
      <c r="H30" s="444"/>
      <c r="I30" s="444"/>
      <c r="J30" s="444"/>
      <c r="K30" s="444"/>
      <c r="L30" s="444"/>
      <c r="M30" s="444"/>
      <c r="N30" s="444"/>
      <c r="O30" s="444"/>
      <c r="P30" s="444"/>
      <c r="Q30" s="444"/>
    </row>
    <row r="31" spans="1:28" s="6" customFormat="1" ht="66.75" customHeight="1" thickBot="1">
      <c r="B31" s="275" t="s">
        <v>62</v>
      </c>
      <c r="C31" s="276"/>
      <c r="D31" s="276"/>
      <c r="E31" s="276"/>
      <c r="G31" s="9"/>
      <c r="Q31" s="277"/>
    </row>
    <row r="32" spans="1:28" s="34" customFormat="1" ht="132.75" customHeight="1">
      <c r="A32" s="441" t="s">
        <v>63</v>
      </c>
      <c r="B32" s="442"/>
      <c r="C32" s="442"/>
      <c r="D32" s="442"/>
      <c r="E32" s="443"/>
      <c r="F32" s="284" t="s">
        <v>64</v>
      </c>
      <c r="G32" s="284" t="s">
        <v>65</v>
      </c>
      <c r="H32" s="497" t="s">
        <v>66</v>
      </c>
      <c r="I32" s="498"/>
      <c r="J32" s="286" t="s">
        <v>49</v>
      </c>
      <c r="K32" s="284" t="s">
        <v>67</v>
      </c>
      <c r="L32" s="284" t="s">
        <v>68</v>
      </c>
      <c r="M32" s="285" t="s">
        <v>69</v>
      </c>
      <c r="N32" s="285" t="s">
        <v>70</v>
      </c>
      <c r="O32" s="285" t="s">
        <v>71</v>
      </c>
      <c r="P32" s="497" t="s">
        <v>72</v>
      </c>
      <c r="Q32" s="498"/>
    </row>
    <row r="33" spans="1:17" s="5" customFormat="1" ht="125.25" customHeight="1">
      <c r="A33" s="287">
        <v>1</v>
      </c>
      <c r="B33" s="465" t="s">
        <v>73</v>
      </c>
      <c r="C33" s="465"/>
      <c r="D33" s="465"/>
      <c r="E33" s="465"/>
      <c r="F33" s="278" t="str">
        <f>H33</f>
        <v>BLACK</v>
      </c>
      <c r="G33" s="283"/>
      <c r="H33" s="467" t="str">
        <f>$D$20</f>
        <v>BLACK</v>
      </c>
      <c r="I33" s="468" t="str">
        <f t="shared" ref="I33:I38" si="1">$E$27</f>
        <v>BLACK</v>
      </c>
      <c r="J33" s="280" t="s">
        <v>74</v>
      </c>
      <c r="K33" s="280">
        <f>$Q$20</f>
        <v>11</v>
      </c>
      <c r="L33" s="298">
        <f>130/4500</f>
        <v>2.8888888888888888E-2</v>
      </c>
      <c r="M33" s="281">
        <f t="shared" ref="M33:M35" si="2">K33*L33</f>
        <v>0.31777777777777777</v>
      </c>
      <c r="N33" s="281"/>
      <c r="O33" s="282">
        <f t="shared" ref="O33:O35" si="3">ROUNDUP(N33+M33,0)</f>
        <v>1</v>
      </c>
      <c r="P33" s="469"/>
      <c r="Q33" s="470"/>
    </row>
    <row r="34" spans="1:17" s="5" customFormat="1" ht="125.25" customHeight="1">
      <c r="A34" s="287">
        <v>2</v>
      </c>
      <c r="B34" s="465" t="s">
        <v>434</v>
      </c>
      <c r="C34" s="465"/>
      <c r="D34" s="465"/>
      <c r="E34" s="465"/>
      <c r="F34" s="278" t="s">
        <v>436</v>
      </c>
      <c r="G34" s="283"/>
      <c r="H34" s="467" t="str">
        <f t="shared" ref="H34:H35" si="4">$D$20</f>
        <v>BLACK</v>
      </c>
      <c r="I34" s="468" t="str">
        <f t="shared" si="1"/>
        <v>BLACK</v>
      </c>
      <c r="J34" s="280" t="s">
        <v>79</v>
      </c>
      <c r="K34" s="280">
        <f t="shared" ref="K34:K35" si="5">$Q$20</f>
        <v>11</v>
      </c>
      <c r="L34" s="298">
        <v>1</v>
      </c>
      <c r="M34" s="281">
        <f t="shared" si="2"/>
        <v>11</v>
      </c>
      <c r="N34" s="281"/>
      <c r="O34" s="282">
        <f t="shared" si="3"/>
        <v>11</v>
      </c>
      <c r="P34" s="469"/>
      <c r="Q34" s="470"/>
    </row>
    <row r="35" spans="1:17" s="5" customFormat="1" ht="125.25" customHeight="1">
      <c r="A35" s="287">
        <v>3</v>
      </c>
      <c r="B35" s="465" t="s">
        <v>435</v>
      </c>
      <c r="C35" s="465"/>
      <c r="D35" s="465"/>
      <c r="E35" s="465"/>
      <c r="F35" s="278" t="s">
        <v>436</v>
      </c>
      <c r="G35" s="283"/>
      <c r="H35" s="467" t="str">
        <f t="shared" si="4"/>
        <v>BLACK</v>
      </c>
      <c r="I35" s="468" t="str">
        <f t="shared" si="1"/>
        <v>BLACK</v>
      </c>
      <c r="J35" s="280" t="s">
        <v>79</v>
      </c>
      <c r="K35" s="280">
        <f t="shared" si="5"/>
        <v>11</v>
      </c>
      <c r="L35" s="298">
        <v>1</v>
      </c>
      <c r="M35" s="281">
        <f t="shared" si="2"/>
        <v>11</v>
      </c>
      <c r="N35" s="281"/>
      <c r="O35" s="282">
        <f t="shared" si="3"/>
        <v>11</v>
      </c>
      <c r="P35" s="469"/>
      <c r="Q35" s="470"/>
    </row>
    <row r="36" spans="1:17" s="5" customFormat="1" ht="125.25" customHeight="1">
      <c r="A36" s="287">
        <v>4</v>
      </c>
      <c r="B36" s="466" t="s">
        <v>331</v>
      </c>
      <c r="C36" s="465"/>
      <c r="D36" s="465"/>
      <c r="E36" s="465"/>
      <c r="F36" s="278" t="s">
        <v>332</v>
      </c>
      <c r="G36" s="371"/>
      <c r="H36" s="467" t="str">
        <f>$D$20</f>
        <v>BLACK</v>
      </c>
      <c r="I36" s="468" t="str">
        <f t="shared" si="1"/>
        <v>BLACK</v>
      </c>
      <c r="J36" s="280" t="s">
        <v>79</v>
      </c>
      <c r="K36" s="280">
        <f>$Q$20</f>
        <v>11</v>
      </c>
      <c r="L36" s="280">
        <v>1</v>
      </c>
      <c r="M36" s="280">
        <f t="shared" ref="M36:M37" si="6">L36*K36</f>
        <v>11</v>
      </c>
      <c r="N36" s="281"/>
      <c r="O36" s="282">
        <f t="shared" ref="O36:O37" si="7">ROUNDUP(N36+M36,0)</f>
        <v>11</v>
      </c>
      <c r="P36" s="469"/>
      <c r="Q36" s="470"/>
    </row>
    <row r="37" spans="1:17" s="5" customFormat="1" ht="125.25" customHeight="1">
      <c r="A37" s="287">
        <v>5</v>
      </c>
      <c r="B37" s="466" t="s">
        <v>416</v>
      </c>
      <c r="C37" s="465"/>
      <c r="D37" s="465"/>
      <c r="E37" s="465"/>
      <c r="F37" s="278" t="s">
        <v>89</v>
      </c>
      <c r="G37" s="371"/>
      <c r="H37" s="467" t="str">
        <f>$D$20</f>
        <v>BLACK</v>
      </c>
      <c r="I37" s="468" t="str">
        <f t="shared" si="1"/>
        <v>BLACK</v>
      </c>
      <c r="J37" s="280" t="s">
        <v>79</v>
      </c>
      <c r="K37" s="280">
        <f>$Q$20</f>
        <v>11</v>
      </c>
      <c r="L37" s="280">
        <v>1</v>
      </c>
      <c r="M37" s="280">
        <f t="shared" si="6"/>
        <v>11</v>
      </c>
      <c r="N37" s="281"/>
      <c r="O37" s="282">
        <f t="shared" si="7"/>
        <v>11</v>
      </c>
      <c r="P37" s="469"/>
      <c r="Q37" s="470"/>
    </row>
    <row r="38" spans="1:17" s="5" customFormat="1" ht="125.25" customHeight="1">
      <c r="A38" s="287">
        <v>5</v>
      </c>
      <c r="B38" s="466" t="s">
        <v>440</v>
      </c>
      <c r="C38" s="465"/>
      <c r="D38" s="465"/>
      <c r="E38" s="465"/>
      <c r="F38" s="278" t="s">
        <v>441</v>
      </c>
      <c r="G38" s="371"/>
      <c r="H38" s="467" t="str">
        <f>$D$20</f>
        <v>BLACK</v>
      </c>
      <c r="I38" s="468" t="str">
        <f t="shared" si="1"/>
        <v>BLACK</v>
      </c>
      <c r="J38" s="280" t="s">
        <v>79</v>
      </c>
      <c r="K38" s="280">
        <f>$Q$20</f>
        <v>11</v>
      </c>
      <c r="L38" s="280">
        <v>1</v>
      </c>
      <c r="M38" s="280">
        <f t="shared" ref="M38" si="8">L38*K38</f>
        <v>11</v>
      </c>
      <c r="N38" s="281"/>
      <c r="O38" s="282">
        <f t="shared" ref="O38" si="9">ROUNDUP(N38+M38,0)</f>
        <v>11</v>
      </c>
      <c r="P38" s="469"/>
      <c r="Q38" s="470"/>
    </row>
    <row r="39" spans="1:17" s="15" customFormat="1" ht="15.95" customHeight="1">
      <c r="A39" s="92"/>
      <c r="B39" s="92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</row>
    <row r="40" spans="1:17" s="128" customFormat="1" ht="60" customHeight="1">
      <c r="B40" s="228" t="s">
        <v>98</v>
      </c>
      <c r="C40" s="258"/>
      <c r="D40" s="259"/>
      <c r="E40" s="259"/>
      <c r="F40" s="259"/>
      <c r="G40" s="260"/>
      <c r="H40" s="259"/>
      <c r="I40" s="259"/>
      <c r="J40" s="495" t="s">
        <v>99</v>
      </c>
      <c r="K40" s="495"/>
      <c r="L40" s="495"/>
      <c r="M40" s="495"/>
      <c r="N40" s="495"/>
      <c r="O40" s="255"/>
      <c r="P40" s="255"/>
      <c r="Q40" s="254"/>
    </row>
    <row r="41" spans="1:17" s="245" customFormat="1" ht="66" customHeight="1">
      <c r="A41" s="245">
        <v>1</v>
      </c>
      <c r="B41" s="246" t="s">
        <v>100</v>
      </c>
      <c r="C41" s="98" t="s">
        <v>423</v>
      </c>
      <c r="D41" s="128"/>
      <c r="E41" s="128"/>
      <c r="F41" s="128"/>
      <c r="G41" s="247"/>
      <c r="H41" s="247"/>
      <c r="I41" s="247"/>
      <c r="J41" s="247"/>
      <c r="K41" s="230"/>
      <c r="L41" s="230"/>
      <c r="M41" s="247"/>
      <c r="N41" s="247"/>
      <c r="O41" s="247"/>
      <c r="P41" s="247"/>
      <c r="Q41" s="247"/>
    </row>
    <row r="42" spans="1:17" s="128" customFormat="1" ht="43.5" customHeight="1">
      <c r="A42" s="245"/>
      <c r="B42" s="457" t="s">
        <v>102</v>
      </c>
      <c r="C42" s="458"/>
      <c r="D42" s="458"/>
      <c r="E42" s="458"/>
      <c r="F42" s="458"/>
      <c r="G42" s="458"/>
      <c r="H42" s="458"/>
      <c r="I42" s="496"/>
      <c r="J42" s="247"/>
      <c r="K42" s="230"/>
      <c r="L42" s="230"/>
      <c r="M42" s="247"/>
      <c r="N42" s="247"/>
      <c r="O42" s="247"/>
      <c r="P42" s="247"/>
      <c r="Q42" s="247"/>
    </row>
    <row r="43" spans="1:17" s="128" customFormat="1" ht="63" customHeight="1">
      <c r="A43" s="245"/>
      <c r="B43" s="463" t="s">
        <v>66</v>
      </c>
      <c r="C43" s="464"/>
      <c r="D43" s="450" t="s">
        <v>103</v>
      </c>
      <c r="E43" s="451"/>
      <c r="F43" s="451"/>
      <c r="G43" s="451"/>
      <c r="H43" s="451"/>
      <c r="I43" s="452"/>
      <c r="J43" s="247"/>
      <c r="K43" s="247"/>
      <c r="L43" s="247"/>
      <c r="M43" s="247"/>
      <c r="N43" s="247"/>
      <c r="O43" s="247"/>
      <c r="P43" s="247"/>
      <c r="Q43" s="247"/>
    </row>
    <row r="44" spans="1:17" s="128" customFormat="1" ht="72" customHeight="1">
      <c r="A44" s="245"/>
      <c r="B44" s="453" t="str">
        <f>$D$20</f>
        <v>BLACK</v>
      </c>
      <c r="C44" s="453" t="str">
        <f t="shared" ref="C44" si="10">$E$27</f>
        <v>BLACK</v>
      </c>
      <c r="D44" s="454" t="s">
        <v>421</v>
      </c>
      <c r="E44" s="455"/>
      <c r="F44" s="455"/>
      <c r="G44" s="455"/>
      <c r="H44" s="455"/>
      <c r="I44" s="456"/>
      <c r="J44" s="247"/>
      <c r="K44" s="247"/>
      <c r="L44" s="247"/>
      <c r="M44" s="247"/>
      <c r="N44" s="247"/>
      <c r="O44" s="247"/>
    </row>
    <row r="45" spans="1:17" s="128" customFormat="1" ht="45.75" customHeight="1">
      <c r="A45" s="245"/>
      <c r="B45" s="249"/>
      <c r="C45" s="250"/>
      <c r="D45" s="251"/>
      <c r="E45" s="252"/>
      <c r="F45" s="252"/>
      <c r="G45" s="252"/>
      <c r="H45" s="252"/>
      <c r="I45" s="253"/>
      <c r="J45" s="247"/>
      <c r="K45" s="247"/>
      <c r="L45" s="247"/>
      <c r="M45" s="247"/>
      <c r="N45" s="247"/>
      <c r="O45" s="247"/>
    </row>
    <row r="46" spans="1:17" s="128" customFormat="1" ht="58.5" customHeight="1">
      <c r="A46" s="245"/>
      <c r="B46" s="457" t="s">
        <v>420</v>
      </c>
      <c r="C46" s="458"/>
      <c r="D46" s="459"/>
      <c r="E46" s="459"/>
      <c r="F46" s="459"/>
      <c r="G46" s="459"/>
      <c r="H46" s="459"/>
      <c r="I46" s="460"/>
      <c r="J46" s="247"/>
      <c r="K46" s="247"/>
      <c r="L46" s="247"/>
    </row>
    <row r="47" spans="1:17" s="128" customFormat="1" ht="56.25" customHeight="1">
      <c r="A47" s="245"/>
      <c r="B47" s="461"/>
      <c r="C47" s="462"/>
      <c r="D47" s="299" t="s">
        <v>106</v>
      </c>
      <c r="E47" s="299" t="s">
        <v>107</v>
      </c>
      <c r="F47" s="299" t="s">
        <v>59</v>
      </c>
      <c r="G47" s="299" t="s">
        <v>108</v>
      </c>
      <c r="H47" s="299" t="s">
        <v>109</v>
      </c>
      <c r="I47" s="299" t="s">
        <v>110</v>
      </c>
      <c r="J47" s="247"/>
    </row>
    <row r="48" spans="1:17" s="128" customFormat="1" ht="77.25" customHeight="1">
      <c r="A48" s="245"/>
      <c r="B48" s="445" t="s">
        <v>419</v>
      </c>
      <c r="C48" s="445"/>
      <c r="D48" s="446" t="s">
        <v>422</v>
      </c>
      <c r="E48" s="447"/>
      <c r="F48" s="447"/>
      <c r="G48" s="447"/>
      <c r="H48" s="447"/>
      <c r="I48" s="448"/>
      <c r="J48" s="247"/>
    </row>
    <row r="49" spans="1:17" s="245" customFormat="1" ht="66" customHeight="1">
      <c r="A49" s="248">
        <v>2</v>
      </c>
      <c r="B49" s="246" t="s">
        <v>120</v>
      </c>
      <c r="C49" s="449" t="s">
        <v>443</v>
      </c>
      <c r="D49" s="449"/>
      <c r="E49" s="449"/>
      <c r="F49" s="449"/>
      <c r="G49" s="449"/>
      <c r="H49" s="449"/>
      <c r="I49" s="449"/>
      <c r="J49" s="247"/>
      <c r="K49" s="230"/>
      <c r="L49" s="230"/>
      <c r="M49" s="247"/>
      <c r="N49" s="247"/>
      <c r="O49" s="247"/>
      <c r="P49" s="247"/>
      <c r="Q49" s="247"/>
    </row>
    <row r="50" spans="1:17" s="128" customFormat="1" ht="58.5" customHeight="1">
      <c r="A50" s="245"/>
      <c r="B50" s="457" t="s">
        <v>102</v>
      </c>
      <c r="C50" s="458"/>
      <c r="D50" s="458"/>
      <c r="E50" s="458"/>
      <c r="F50" s="458"/>
      <c r="G50" s="458"/>
      <c r="H50" s="458"/>
      <c r="I50" s="496"/>
      <c r="J50" s="247"/>
      <c r="K50" s="230"/>
      <c r="L50" s="230"/>
      <c r="M50" s="247"/>
      <c r="N50" s="247"/>
      <c r="O50" s="247"/>
      <c r="P50" s="247"/>
      <c r="Q50" s="247"/>
    </row>
    <row r="51" spans="1:17" s="128" customFormat="1" ht="63" customHeight="1">
      <c r="A51" s="245"/>
      <c r="B51" s="463" t="s">
        <v>66</v>
      </c>
      <c r="C51" s="464"/>
      <c r="D51" s="450" t="s">
        <v>122</v>
      </c>
      <c r="E51" s="451"/>
      <c r="F51" s="451"/>
      <c r="G51" s="451"/>
      <c r="H51" s="451"/>
      <c r="I51" s="452"/>
      <c r="J51" s="247"/>
      <c r="K51" s="247"/>
      <c r="L51" s="247"/>
      <c r="M51" s="247"/>
      <c r="N51" s="247"/>
      <c r="O51" s="247"/>
      <c r="P51" s="247"/>
      <c r="Q51" s="247"/>
    </row>
    <row r="52" spans="1:17" s="128" customFormat="1" ht="72" customHeight="1">
      <c r="A52" s="245"/>
      <c r="B52" s="453" t="str">
        <f>$D$20</f>
        <v>BLACK</v>
      </c>
      <c r="C52" s="453" t="str">
        <f t="shared" ref="C52" si="11">$E$27</f>
        <v>BLACK</v>
      </c>
      <c r="D52" s="454" t="s">
        <v>421</v>
      </c>
      <c r="E52" s="455"/>
      <c r="F52" s="455"/>
      <c r="G52" s="455"/>
      <c r="H52" s="455"/>
      <c r="I52" s="456"/>
      <c r="J52" s="247"/>
      <c r="K52" s="247"/>
      <c r="L52" s="247"/>
      <c r="M52" s="247"/>
      <c r="N52" s="247"/>
      <c r="O52" s="247"/>
    </row>
    <row r="53" spans="1:17" s="128" customFormat="1" ht="51" customHeight="1">
      <c r="A53" s="245"/>
      <c r="B53" s="249"/>
      <c r="C53" s="250"/>
      <c r="D53" s="251"/>
      <c r="E53" s="252"/>
      <c r="F53" s="252"/>
      <c r="G53" s="252"/>
      <c r="H53" s="252"/>
      <c r="I53" s="253"/>
      <c r="J53" s="247"/>
      <c r="K53" s="247"/>
      <c r="L53" s="247"/>
      <c r="M53" s="247"/>
      <c r="N53" s="247"/>
      <c r="O53" s="247"/>
    </row>
    <row r="54" spans="1:17" s="128" customFormat="1" ht="36">
      <c r="A54" s="245"/>
      <c r="B54" s="457" t="s">
        <v>123</v>
      </c>
      <c r="C54" s="458"/>
      <c r="D54" s="459"/>
      <c r="E54" s="459"/>
      <c r="F54" s="459"/>
      <c r="G54" s="459"/>
      <c r="H54" s="459"/>
      <c r="I54" s="460"/>
      <c r="J54" s="247"/>
      <c r="K54" s="247"/>
      <c r="L54" s="247"/>
    </row>
    <row r="55" spans="1:17" s="128" customFormat="1" ht="56.25" customHeight="1">
      <c r="A55" s="245"/>
      <c r="B55" s="461"/>
      <c r="C55" s="462"/>
      <c r="D55" s="299" t="s">
        <v>106</v>
      </c>
      <c r="E55" s="299" t="s">
        <v>107</v>
      </c>
      <c r="F55" s="299" t="s">
        <v>59</v>
      </c>
      <c r="G55" s="299" t="s">
        <v>108</v>
      </c>
      <c r="H55" s="299" t="s">
        <v>109</v>
      </c>
      <c r="I55" s="299" t="s">
        <v>110</v>
      </c>
      <c r="J55" s="247"/>
    </row>
    <row r="56" spans="1:17" s="128" customFormat="1" ht="58.5" customHeight="1">
      <c r="A56" s="245"/>
      <c r="B56" s="445" t="s">
        <v>124</v>
      </c>
      <c r="C56" s="445"/>
      <c r="D56" s="446" t="s">
        <v>422</v>
      </c>
      <c r="E56" s="447"/>
      <c r="F56" s="447"/>
      <c r="G56" s="447"/>
      <c r="H56" s="447"/>
      <c r="I56" s="448"/>
      <c r="J56" s="247"/>
    </row>
    <row r="57" spans="1:17" s="128" customFormat="1" ht="58.5" customHeight="1">
      <c r="A57" s="245"/>
      <c r="B57" s="386"/>
      <c r="C57" s="386"/>
      <c r="D57" s="384"/>
      <c r="E57" s="385"/>
      <c r="F57" s="385"/>
      <c r="G57" s="385"/>
      <c r="H57" s="385"/>
      <c r="I57" s="385"/>
      <c r="J57" s="247"/>
    </row>
    <row r="58" spans="1:17" s="245" customFormat="1" ht="59.25" customHeight="1">
      <c r="A58" s="248">
        <v>3</v>
      </c>
      <c r="B58" s="246" t="s">
        <v>125</v>
      </c>
      <c r="C58" s="98" t="s">
        <v>424</v>
      </c>
      <c r="D58" s="98"/>
      <c r="E58" s="98"/>
      <c r="F58" s="98"/>
      <c r="G58" s="247"/>
      <c r="H58" s="247"/>
      <c r="I58" s="247"/>
      <c r="J58" s="247"/>
      <c r="K58" s="230"/>
      <c r="L58" s="230"/>
      <c r="M58" s="247"/>
      <c r="N58" s="247"/>
      <c r="O58" s="247"/>
      <c r="P58" s="247"/>
      <c r="Q58" s="247"/>
    </row>
    <row r="59" spans="1:17" s="128" customFormat="1" ht="68.25" customHeight="1">
      <c r="A59" s="245"/>
      <c r="B59" s="463" t="s">
        <v>66</v>
      </c>
      <c r="C59" s="464"/>
      <c r="D59" s="450" t="s">
        <v>122</v>
      </c>
      <c r="E59" s="451"/>
      <c r="F59" s="451"/>
      <c r="G59" s="451"/>
      <c r="H59" s="451"/>
      <c r="I59" s="452"/>
      <c r="J59" s="247"/>
      <c r="K59" s="247"/>
      <c r="L59" s="247"/>
      <c r="M59" s="247"/>
      <c r="N59" s="247"/>
      <c r="O59" s="247"/>
      <c r="P59" s="247"/>
      <c r="Q59" s="247"/>
    </row>
    <row r="60" spans="1:17" s="128" customFormat="1" ht="77.099999999999994" customHeight="1">
      <c r="A60" s="245"/>
      <c r="B60" s="453" t="str">
        <f>$D$20</f>
        <v>BLACK</v>
      </c>
      <c r="C60" s="453" t="str">
        <f t="shared" ref="C60" si="12">$E$27</f>
        <v>BLACK</v>
      </c>
      <c r="D60" s="454" t="s">
        <v>421</v>
      </c>
      <c r="E60" s="455"/>
      <c r="F60" s="455"/>
      <c r="G60" s="455"/>
      <c r="H60" s="455"/>
      <c r="I60" s="456"/>
      <c r="J60" s="247"/>
      <c r="K60" s="247"/>
      <c r="L60" s="247"/>
      <c r="M60" s="247"/>
      <c r="N60" s="247"/>
      <c r="O60" s="247"/>
    </row>
    <row r="61" spans="1:17" s="128" customFormat="1" ht="36">
      <c r="A61" s="245"/>
      <c r="B61" s="245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</row>
    <row r="62" spans="1:17" s="128" customFormat="1" ht="46.5" customHeight="1">
      <c r="B62" s="495" t="s">
        <v>127</v>
      </c>
      <c r="C62" s="495"/>
      <c r="D62" s="495"/>
      <c r="E62" s="495"/>
      <c r="G62" s="247"/>
      <c r="N62" s="254"/>
      <c r="O62" s="255"/>
      <c r="P62" s="255"/>
      <c r="Q62" s="254"/>
    </row>
    <row r="63" spans="1:17" s="128" customFormat="1" ht="69" customHeight="1">
      <c r="A63" s="245">
        <v>1</v>
      </c>
      <c r="B63" s="256" t="s">
        <v>128</v>
      </c>
      <c r="C63" s="245"/>
      <c r="D63" s="245"/>
      <c r="G63" s="247"/>
      <c r="N63" s="254"/>
      <c r="O63" s="255"/>
      <c r="P63" s="255"/>
      <c r="Q63" s="254"/>
    </row>
    <row r="64" spans="1:17" s="128" customFormat="1" ht="69" customHeight="1">
      <c r="A64" s="245">
        <v>2</v>
      </c>
      <c r="B64" s="256" t="s">
        <v>129</v>
      </c>
      <c r="C64" s="245"/>
      <c r="D64" s="245"/>
      <c r="G64" s="247"/>
      <c r="N64" s="254"/>
      <c r="O64" s="255"/>
      <c r="P64" s="255"/>
      <c r="Q64" s="254"/>
    </row>
    <row r="65" spans="1:17" s="128" customFormat="1" ht="69" customHeight="1">
      <c r="A65" s="245">
        <v>3</v>
      </c>
      <c r="B65" s="256" t="s">
        <v>130</v>
      </c>
      <c r="C65" s="245"/>
      <c r="D65" s="245"/>
      <c r="G65" s="247"/>
      <c r="N65" s="254"/>
      <c r="O65" s="255"/>
      <c r="P65" s="255"/>
      <c r="Q65" s="254"/>
    </row>
    <row r="66" spans="1:17" s="98" customFormat="1" ht="48.6" customHeight="1">
      <c r="A66" s="248"/>
      <c r="B66" s="301" t="s">
        <v>131</v>
      </c>
      <c r="C66" s="233" t="s">
        <v>106</v>
      </c>
      <c r="D66" s="233" t="s">
        <v>107</v>
      </c>
      <c r="E66" s="233" t="s">
        <v>59</v>
      </c>
      <c r="F66" s="233" t="s">
        <v>108</v>
      </c>
      <c r="G66" s="233" t="s">
        <v>109</v>
      </c>
      <c r="H66" s="233" t="s">
        <v>36</v>
      </c>
      <c r="I66" s="233" t="s">
        <v>37</v>
      </c>
      <c r="J66" s="233" t="s">
        <v>38</v>
      </c>
      <c r="N66" s="231"/>
      <c r="O66" s="257"/>
      <c r="P66" s="257"/>
      <c r="Q66" s="231"/>
    </row>
    <row r="67" spans="1:17" s="98" customFormat="1" ht="48.6" customHeight="1">
      <c r="A67" s="248"/>
      <c r="B67" s="301" t="s">
        <v>132</v>
      </c>
      <c r="C67" s="235">
        <f t="shared" ref="C67:I67" si="13">G20</f>
        <v>0</v>
      </c>
      <c r="D67" s="235">
        <f t="shared" si="13"/>
        <v>0</v>
      </c>
      <c r="E67" s="235">
        <f t="shared" si="13"/>
        <v>3</v>
      </c>
      <c r="F67" s="235">
        <f t="shared" si="13"/>
        <v>4</v>
      </c>
      <c r="G67" s="235">
        <f t="shared" si="13"/>
        <v>4</v>
      </c>
      <c r="H67" s="235">
        <f t="shared" si="13"/>
        <v>0</v>
      </c>
      <c r="I67" s="235">
        <f t="shared" si="13"/>
        <v>0</v>
      </c>
      <c r="J67" s="235">
        <f>Q22</f>
        <v>11</v>
      </c>
      <c r="N67" s="231"/>
      <c r="O67" s="257"/>
      <c r="P67" s="257"/>
      <c r="Q67" s="231"/>
    </row>
    <row r="68" spans="1:17" s="96" customFormat="1" ht="198.75" customHeight="1">
      <c r="A68" s="339"/>
      <c r="B68" s="340"/>
      <c r="C68" s="340"/>
      <c r="D68" s="340"/>
      <c r="E68" s="340"/>
      <c r="F68" s="340"/>
      <c r="G68" s="340"/>
      <c r="H68" s="340"/>
      <c r="I68" s="340"/>
      <c r="J68" s="340"/>
      <c r="K68" s="340"/>
      <c r="L68" s="340"/>
      <c r="M68" s="340"/>
      <c r="N68" s="340"/>
      <c r="O68" s="340"/>
      <c r="P68" s="340"/>
      <c r="Q68" s="340"/>
    </row>
    <row r="69" spans="1:17" s="96" customFormat="1" ht="132.94999999999999" customHeight="1">
      <c r="B69" s="341"/>
      <c r="G69" s="97"/>
    </row>
    <row r="70" spans="1:17" s="96" customFormat="1" ht="33">
      <c r="G70" s="97"/>
    </row>
    <row r="71" spans="1:17" s="96" customFormat="1" ht="33">
      <c r="G71" s="97"/>
    </row>
    <row r="72" spans="1:17" s="96" customFormat="1" ht="33">
      <c r="G72" s="97"/>
    </row>
    <row r="73" spans="1:17" s="96" customFormat="1" ht="33">
      <c r="G73" s="97"/>
    </row>
    <row r="74" spans="1:17" s="96" customFormat="1" ht="33">
      <c r="G74" s="97"/>
    </row>
    <row r="75" spans="1:17" s="96" customFormat="1" ht="33">
      <c r="G75" s="97"/>
    </row>
    <row r="76" spans="1:17" s="96" customFormat="1" ht="33">
      <c r="G76" s="97"/>
    </row>
    <row r="77" spans="1:17" s="96" customFormat="1" ht="33">
      <c r="G77" s="97"/>
    </row>
    <row r="78" spans="1:17" s="96" customFormat="1" ht="33">
      <c r="G78" s="97"/>
    </row>
    <row r="79" spans="1:17" s="96" customFormat="1" ht="33">
      <c r="G79" s="97"/>
    </row>
    <row r="80" spans="1:17" s="96" customFormat="1" ht="33">
      <c r="G80" s="97"/>
    </row>
    <row r="81" spans="7:7" s="96" customFormat="1" ht="33">
      <c r="G81" s="97"/>
    </row>
    <row r="82" spans="7:7" s="96" customFormat="1" ht="33">
      <c r="G82" s="97"/>
    </row>
    <row r="83" spans="7:7" s="96" customFormat="1" ht="33">
      <c r="G83" s="97"/>
    </row>
    <row r="84" spans="7:7" s="96" customFormat="1" ht="33">
      <c r="G84" s="97"/>
    </row>
    <row r="85" spans="7:7" s="96" customFormat="1" ht="33">
      <c r="G85" s="97"/>
    </row>
    <row r="86" spans="7:7" s="96" customFormat="1" ht="33">
      <c r="G86" s="97"/>
    </row>
    <row r="87" spans="7:7" s="96" customFormat="1" ht="33">
      <c r="G87" s="97"/>
    </row>
    <row r="88" spans="7:7" s="96" customFormat="1" ht="33">
      <c r="G88" s="97"/>
    </row>
    <row r="89" spans="7:7" s="96" customFormat="1" ht="33">
      <c r="G89" s="97"/>
    </row>
    <row r="90" spans="7:7" s="96" customFormat="1" ht="33">
      <c r="G90" s="97"/>
    </row>
  </sheetData>
  <autoFilter ref="A32:R3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68">
    <mergeCell ref="B42:I42"/>
    <mergeCell ref="B29:C29"/>
    <mergeCell ref="B38:E38"/>
    <mergeCell ref="H38:I38"/>
    <mergeCell ref="P38:Q38"/>
    <mergeCell ref="J40:N40"/>
    <mergeCell ref="P33:Q33"/>
    <mergeCell ref="H33:I33"/>
    <mergeCell ref="B34:E34"/>
    <mergeCell ref="H34:I34"/>
    <mergeCell ref="N29:Q29"/>
    <mergeCell ref="B37:E37"/>
    <mergeCell ref="H37:I37"/>
    <mergeCell ref="P37:Q37"/>
    <mergeCell ref="H32:I32"/>
    <mergeCell ref="P32:Q32"/>
    <mergeCell ref="B62:E62"/>
    <mergeCell ref="B54:I54"/>
    <mergeCell ref="B50:I50"/>
    <mergeCell ref="B52:C52"/>
    <mergeCell ref="B51:C51"/>
    <mergeCell ref="D51:I51"/>
    <mergeCell ref="D52:I52"/>
    <mergeCell ref="B59:C59"/>
    <mergeCell ref="D59:I59"/>
    <mergeCell ref="B60:C60"/>
    <mergeCell ref="D60:I60"/>
    <mergeCell ref="B56:C56"/>
    <mergeCell ref="N25:Q25"/>
    <mergeCell ref="A25:C25"/>
    <mergeCell ref="B27:C27"/>
    <mergeCell ref="A26:Q26"/>
    <mergeCell ref="B28:C28"/>
    <mergeCell ref="N27:Q27"/>
    <mergeCell ref="N28:Q28"/>
    <mergeCell ref="N1:O1"/>
    <mergeCell ref="D8:F8"/>
    <mergeCell ref="M11:Q11"/>
    <mergeCell ref="D23:Q24"/>
    <mergeCell ref="D11:F11"/>
    <mergeCell ref="P1:Q1"/>
    <mergeCell ref="N2:O2"/>
    <mergeCell ref="P2:Q2"/>
    <mergeCell ref="N3:O3"/>
    <mergeCell ref="P3:Q3"/>
    <mergeCell ref="B13:F13"/>
    <mergeCell ref="G5:L8"/>
    <mergeCell ref="P36:Q36"/>
    <mergeCell ref="P34:Q34"/>
    <mergeCell ref="B35:E35"/>
    <mergeCell ref="H35:I35"/>
    <mergeCell ref="P35:Q35"/>
    <mergeCell ref="A32:E32"/>
    <mergeCell ref="A30:Q30"/>
    <mergeCell ref="B48:C48"/>
    <mergeCell ref="D48:I48"/>
    <mergeCell ref="D56:I56"/>
    <mergeCell ref="C49:I49"/>
    <mergeCell ref="D43:I43"/>
    <mergeCell ref="B44:C44"/>
    <mergeCell ref="D44:I44"/>
    <mergeCell ref="B46:I46"/>
    <mergeCell ref="B47:C47"/>
    <mergeCell ref="B55:C55"/>
    <mergeCell ref="B43:C43"/>
    <mergeCell ref="B33:E33"/>
    <mergeCell ref="B36:E36"/>
    <mergeCell ref="H36:I36"/>
  </mergeCells>
  <printOptions horizontalCentered="1"/>
  <pageMargins left="0" right="0" top="0.5" bottom="0.5" header="0" footer="0"/>
  <pageSetup paperSize="9" scale="23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8" max="16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425781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04" t="s">
        <v>0</v>
      </c>
      <c r="N1" s="504" t="s">
        <v>0</v>
      </c>
      <c r="O1" s="505" t="s">
        <v>1</v>
      </c>
      <c r="P1" s="505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04" t="s">
        <v>2</v>
      </c>
      <c r="N2" s="504" t="s">
        <v>2</v>
      </c>
      <c r="O2" s="506" t="s">
        <v>3</v>
      </c>
      <c r="P2" s="506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04" t="s">
        <v>4</v>
      </c>
      <c r="N3" s="504" t="s">
        <v>4</v>
      </c>
      <c r="O3" s="507" t="s">
        <v>5</v>
      </c>
      <c r="P3" s="505"/>
    </row>
    <row r="4" spans="1:16" s="5" customFormat="1" ht="33" customHeight="1" thickBot="1">
      <c r="B4" s="6" t="s">
        <v>133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81" t="s">
        <v>134</v>
      </c>
      <c r="H5" s="482"/>
      <c r="I5" s="482"/>
      <c r="J5" s="482"/>
      <c r="K5" s="482"/>
      <c r="L5" s="483"/>
    </row>
    <row r="6" spans="1:16" s="10" customFormat="1" ht="57.95" customHeight="1">
      <c r="B6" s="11" t="s">
        <v>9</v>
      </c>
      <c r="C6" s="11"/>
      <c r="D6" s="12" t="s">
        <v>135</v>
      </c>
      <c r="E6" s="14"/>
      <c r="F6" s="11"/>
      <c r="G6" s="484"/>
      <c r="H6" s="485"/>
      <c r="I6" s="485"/>
      <c r="J6" s="485"/>
      <c r="K6" s="485"/>
      <c r="L6" s="486"/>
      <c r="M6" s="13"/>
      <c r="N6" s="13"/>
      <c r="O6" s="13"/>
      <c r="P6" s="13"/>
    </row>
    <row r="7" spans="1:16" s="10" customFormat="1" ht="57.95" customHeight="1">
      <c r="B7" s="11" t="s">
        <v>11</v>
      </c>
      <c r="C7" s="11"/>
      <c r="D7" s="12" t="s">
        <v>136</v>
      </c>
      <c r="E7" s="12"/>
      <c r="F7" s="11"/>
      <c r="G7" s="484"/>
      <c r="H7" s="485"/>
      <c r="I7" s="485"/>
      <c r="J7" s="485"/>
      <c r="K7" s="485"/>
      <c r="L7" s="486"/>
      <c r="M7" s="13"/>
      <c r="N7" s="13"/>
      <c r="O7" s="13"/>
      <c r="P7" s="13"/>
    </row>
    <row r="8" spans="1:16" s="10" customFormat="1" ht="57.95" customHeight="1" thickBot="1">
      <c r="B8" s="11" t="s">
        <v>13</v>
      </c>
      <c r="C8" s="11"/>
      <c r="D8" s="499" t="s">
        <v>137</v>
      </c>
      <c r="E8" s="499"/>
      <c r="F8" s="499"/>
      <c r="G8" s="487"/>
      <c r="H8" s="488"/>
      <c r="I8" s="488"/>
      <c r="J8" s="488"/>
      <c r="K8" s="488"/>
      <c r="L8" s="489"/>
      <c r="M8" s="13"/>
      <c r="N8" s="13"/>
      <c r="O8" s="13"/>
      <c r="P8" s="13"/>
    </row>
    <row r="9" spans="1:16" s="15" customFormat="1" ht="33">
      <c r="B9" s="16" t="s">
        <v>15</v>
      </c>
      <c r="C9" s="16"/>
      <c r="D9" s="137" t="s">
        <v>138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302" t="s">
        <v>17</v>
      </c>
      <c r="C10" s="302"/>
      <c r="D10" s="136" t="s">
        <v>139</v>
      </c>
      <c r="E10" s="136"/>
      <c r="F10" s="136"/>
      <c r="G10" s="303"/>
      <c r="H10" s="136"/>
      <c r="I10" s="304"/>
      <c r="J10" s="304" t="s">
        <v>19</v>
      </c>
      <c r="K10" s="304"/>
      <c r="L10" s="304" t="s">
        <v>140</v>
      </c>
      <c r="M10" s="305"/>
      <c r="N10" s="305"/>
      <c r="O10" s="305"/>
      <c r="P10" s="305"/>
    </row>
    <row r="11" spans="1:16" s="15" customFormat="1" ht="68.25" customHeight="1">
      <c r="B11" s="304" t="s">
        <v>21</v>
      </c>
      <c r="C11" s="304"/>
      <c r="D11" s="500">
        <v>44964</v>
      </c>
      <c r="E11" s="501"/>
      <c r="F11" s="501"/>
      <c r="G11" s="307"/>
      <c r="H11" s="306"/>
      <c r="I11" s="304"/>
      <c r="J11" s="304" t="s">
        <v>22</v>
      </c>
      <c r="K11" s="304"/>
      <c r="L11" s="502" t="s">
        <v>141</v>
      </c>
      <c r="M11" s="502"/>
      <c r="N11" s="502"/>
      <c r="O11" s="502"/>
      <c r="P11" s="502"/>
    </row>
    <row r="12" spans="1:16" s="15" customFormat="1" ht="33">
      <c r="B12" s="304" t="s">
        <v>24</v>
      </c>
      <c r="C12" s="304"/>
      <c r="D12" s="308"/>
      <c r="E12" s="304"/>
      <c r="F12" s="304"/>
      <c r="G12" s="309"/>
      <c r="H12" s="310"/>
      <c r="I12" s="304"/>
      <c r="J12" s="304" t="s">
        <v>25</v>
      </c>
      <c r="L12" s="304" t="s">
        <v>142</v>
      </c>
      <c r="M12" s="304"/>
      <c r="N12" s="310"/>
      <c r="O12" s="310"/>
      <c r="P12" s="305"/>
    </row>
    <row r="13" spans="1:16" s="15" customFormat="1" ht="33">
      <c r="B13" s="503"/>
      <c r="C13" s="503"/>
      <c r="D13" s="503"/>
      <c r="E13" s="503"/>
      <c r="F13" s="503"/>
      <c r="G13" s="309"/>
      <c r="H13" s="310"/>
      <c r="I13" s="304"/>
      <c r="J13" s="304" t="s">
        <v>27</v>
      </c>
      <c r="K13" s="304"/>
      <c r="L13" s="304" t="s">
        <v>143</v>
      </c>
      <c r="M13" s="310"/>
      <c r="N13" s="305"/>
      <c r="O13" s="305"/>
      <c r="P13" s="310"/>
    </row>
    <row r="14" spans="1:16" s="15" customFormat="1" ht="33">
      <c r="B14" s="304" t="s">
        <v>144</v>
      </c>
      <c r="C14" s="304"/>
      <c r="D14" s="304" t="s">
        <v>29</v>
      </c>
      <c r="E14" s="304"/>
      <c r="F14" s="304"/>
      <c r="G14" s="311"/>
      <c r="H14" s="304"/>
      <c r="I14" s="304"/>
      <c r="J14" s="304" t="s">
        <v>30</v>
      </c>
      <c r="K14" s="304"/>
      <c r="L14" s="305" t="s">
        <v>145</v>
      </c>
      <c r="M14" s="305"/>
      <c r="N14" s="305"/>
      <c r="O14" s="305"/>
      <c r="P14" s="305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33</v>
      </c>
      <c r="D17" s="108" t="s">
        <v>34</v>
      </c>
      <c r="E17" s="109" t="s">
        <v>35</v>
      </c>
      <c r="F17" s="109"/>
      <c r="G17" s="109" t="s">
        <v>107</v>
      </c>
      <c r="H17" s="109" t="s">
        <v>59</v>
      </c>
      <c r="I17" s="109" t="s">
        <v>108</v>
      </c>
      <c r="J17" s="109" t="s">
        <v>109</v>
      </c>
      <c r="K17" s="109" t="s">
        <v>110</v>
      </c>
      <c r="L17" s="109"/>
      <c r="M17" s="109"/>
      <c r="N17" s="109"/>
      <c r="O17" s="109"/>
      <c r="P17" s="110" t="s">
        <v>38</v>
      </c>
    </row>
    <row r="18" spans="2:16" s="111" customFormat="1" ht="80.25" hidden="1" customHeight="1">
      <c r="B18" s="112" t="s">
        <v>39</v>
      </c>
      <c r="C18" s="113"/>
      <c r="D18" s="114" t="s">
        <v>40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41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42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33</v>
      </c>
      <c r="D22" s="151" t="s">
        <v>34</v>
      </c>
      <c r="E22" s="152" t="s">
        <v>35</v>
      </c>
      <c r="F22" s="152"/>
      <c r="G22" s="152" t="s">
        <v>107</v>
      </c>
      <c r="H22" s="152" t="s">
        <v>59</v>
      </c>
      <c r="I22" s="152" t="s">
        <v>108</v>
      </c>
      <c r="J22" s="152" t="s">
        <v>109</v>
      </c>
      <c r="K22" s="152" t="s">
        <v>110</v>
      </c>
      <c r="L22" s="153"/>
      <c r="M22" s="153"/>
      <c r="N22" s="153"/>
      <c r="O22" s="153"/>
      <c r="P22" s="154" t="s">
        <v>38</v>
      </c>
    </row>
    <row r="23" spans="2:16" s="155" customFormat="1" ht="91.5" customHeight="1">
      <c r="B23" s="156" t="s">
        <v>39</v>
      </c>
      <c r="C23" s="157"/>
      <c r="D23" s="158" t="s">
        <v>146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41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42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33</v>
      </c>
      <c r="D27" s="114" t="s">
        <v>34</v>
      </c>
      <c r="E27" s="115" t="s">
        <v>35</v>
      </c>
      <c r="F27" s="116"/>
      <c r="G27" s="116" t="s">
        <v>107</v>
      </c>
      <c r="H27" s="116" t="s">
        <v>59</v>
      </c>
      <c r="I27" s="116" t="s">
        <v>108</v>
      </c>
      <c r="J27" s="116" t="s">
        <v>109</v>
      </c>
      <c r="K27" s="116" t="s">
        <v>110</v>
      </c>
      <c r="L27" s="116"/>
      <c r="M27" s="116"/>
      <c r="N27" s="116"/>
      <c r="O27" s="116"/>
      <c r="P27" s="117" t="s">
        <v>38</v>
      </c>
    </row>
    <row r="28" spans="2:16" s="111" customFormat="1" ht="111.75" hidden="1" customHeight="1">
      <c r="B28" s="112" t="s">
        <v>39</v>
      </c>
      <c r="C28" s="113"/>
      <c r="D28" s="516" t="s">
        <v>147</v>
      </c>
      <c r="E28" s="516"/>
      <c r="F28" s="516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41</v>
      </c>
      <c r="C29" s="113"/>
      <c r="D29" s="516" t="str">
        <f>+D28</f>
        <v>WASHED BURGUNDY</v>
      </c>
      <c r="E29" s="516"/>
      <c r="F29" s="516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42</v>
      </c>
      <c r="C30" s="132"/>
      <c r="D30" s="517" t="str">
        <f>+D29</f>
        <v>WASHED BURGUNDY</v>
      </c>
      <c r="E30" s="517"/>
      <c r="F30" s="517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33</v>
      </c>
      <c r="D32" s="108" t="s">
        <v>34</v>
      </c>
      <c r="E32" s="131" t="s">
        <v>35</v>
      </c>
      <c r="F32" s="131"/>
      <c r="G32" s="131" t="s">
        <v>107</v>
      </c>
      <c r="H32" s="131" t="s">
        <v>59</v>
      </c>
      <c r="I32" s="131" t="s">
        <v>108</v>
      </c>
      <c r="J32" s="131" t="s">
        <v>109</v>
      </c>
      <c r="K32" s="131" t="s">
        <v>110</v>
      </c>
      <c r="L32" s="131"/>
      <c r="M32" s="131"/>
      <c r="N32" s="131"/>
      <c r="O32" s="131"/>
      <c r="P32" s="110" t="s">
        <v>38</v>
      </c>
    </row>
    <row r="33" spans="1:16" s="111" customFormat="1" ht="74.25" hidden="1" customHeight="1">
      <c r="B33" s="112" t="s">
        <v>39</v>
      </c>
      <c r="C33" s="113"/>
      <c r="D33" s="114" t="s">
        <v>148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41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42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33</v>
      </c>
      <c r="D37" s="108" t="s">
        <v>34</v>
      </c>
      <c r="E37" s="109" t="s">
        <v>35</v>
      </c>
      <c r="F37" s="109"/>
      <c r="G37" s="109" t="s">
        <v>107</v>
      </c>
      <c r="H37" s="109" t="s">
        <v>59</v>
      </c>
      <c r="I37" s="109" t="s">
        <v>108</v>
      </c>
      <c r="J37" s="109" t="s">
        <v>109</v>
      </c>
      <c r="K37" s="109" t="s">
        <v>110</v>
      </c>
      <c r="L37" s="109"/>
      <c r="M37" s="109"/>
      <c r="N37" s="109"/>
      <c r="O37" s="109"/>
      <c r="P37" s="110" t="s">
        <v>38</v>
      </c>
    </row>
    <row r="38" spans="1:16" s="111" customFormat="1" ht="74.25" hidden="1" customHeight="1">
      <c r="B38" s="112" t="s">
        <v>39</v>
      </c>
      <c r="C38" s="113"/>
      <c r="D38" s="114" t="s">
        <v>149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41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42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44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474" t="s">
        <v>150</v>
      </c>
      <c r="E43" s="474"/>
      <c r="F43" s="474"/>
      <c r="G43" s="474"/>
      <c r="H43" s="474"/>
      <c r="I43" s="474"/>
      <c r="J43" s="474"/>
      <c r="K43" s="474"/>
      <c r="L43" s="474"/>
      <c r="M43" s="474"/>
      <c r="N43" s="474"/>
      <c r="O43" s="474"/>
      <c r="P43" s="474"/>
    </row>
    <row r="44" spans="1:16" s="4" customFormat="1" ht="59.1" customHeight="1" thickBot="1">
      <c r="B44" s="87" t="s">
        <v>45</v>
      </c>
      <c r="C44" s="24"/>
      <c r="D44" s="518"/>
      <c r="E44" s="518"/>
      <c r="F44" s="518"/>
      <c r="G44" s="518"/>
      <c r="H44" s="518"/>
      <c r="I44" s="518"/>
      <c r="J44" s="518"/>
      <c r="K44" s="518"/>
      <c r="L44" s="518"/>
      <c r="M44" s="518"/>
      <c r="N44" s="518"/>
      <c r="O44" s="518"/>
      <c r="P44" s="518"/>
    </row>
    <row r="45" spans="1:16" s="25" customFormat="1" ht="120.75" thickBot="1">
      <c r="A45" s="519" t="s">
        <v>46</v>
      </c>
      <c r="B45" s="520"/>
      <c r="C45" s="520"/>
      <c r="D45" s="81" t="s">
        <v>47</v>
      </c>
      <c r="E45" s="82" t="s">
        <v>48</v>
      </c>
      <c r="F45" s="81" t="s">
        <v>49</v>
      </c>
      <c r="G45" s="83" t="s">
        <v>50</v>
      </c>
      <c r="H45" s="83" t="s">
        <v>51</v>
      </c>
      <c r="I45" s="83" t="s">
        <v>52</v>
      </c>
      <c r="J45" s="83" t="s">
        <v>151</v>
      </c>
      <c r="K45" s="83" t="s">
        <v>152</v>
      </c>
      <c r="L45" s="83" t="s">
        <v>56</v>
      </c>
      <c r="M45" s="521" t="s">
        <v>57</v>
      </c>
      <c r="N45" s="522"/>
      <c r="O45" s="522"/>
      <c r="P45" s="523"/>
    </row>
    <row r="46" spans="1:16" s="34" customFormat="1" ht="45.75" hidden="1" customHeight="1">
      <c r="A46" s="508" t="str">
        <f>D18</f>
        <v>BLACK</v>
      </c>
      <c r="B46" s="509"/>
      <c r="C46" s="509"/>
      <c r="D46" s="509"/>
      <c r="E46" s="509"/>
      <c r="F46" s="509"/>
      <c r="G46" s="509"/>
      <c r="H46" s="509"/>
      <c r="I46" s="509"/>
      <c r="J46" s="509"/>
      <c r="K46" s="509"/>
      <c r="L46" s="509"/>
      <c r="M46" s="509"/>
      <c r="N46" s="509"/>
      <c r="O46" s="509"/>
      <c r="P46" s="510"/>
    </row>
    <row r="47" spans="1:16" s="128" customFormat="1" ht="120" hidden="1" customHeight="1">
      <c r="A47" s="129">
        <v>1</v>
      </c>
      <c r="B47" s="511" t="str">
        <f>$L$11</f>
        <v>100% DRY COTTON FLEECE 410GSM</v>
      </c>
      <c r="C47" s="511"/>
      <c r="D47" s="180" t="s">
        <v>153</v>
      </c>
      <c r="E47" s="180" t="str">
        <f>A46</f>
        <v>BLACK</v>
      </c>
      <c r="F47" s="129" t="s">
        <v>59</v>
      </c>
      <c r="G47" s="181">
        <f>$P$20</f>
        <v>0</v>
      </c>
      <c r="H47" s="312">
        <v>1.5</v>
      </c>
      <c r="I47" s="313">
        <f t="shared" ref="I47:I49" si="6">G47*H47</f>
        <v>0</v>
      </c>
      <c r="J47" s="313"/>
      <c r="K47" s="313"/>
      <c r="L47" s="314"/>
      <c r="M47" s="512"/>
      <c r="N47" s="513"/>
      <c r="O47" s="513"/>
      <c r="P47" s="514"/>
    </row>
    <row r="48" spans="1:16" s="128" customFormat="1" ht="89.25" hidden="1" customHeight="1">
      <c r="A48" s="129">
        <v>2</v>
      </c>
      <c r="B48" s="511" t="s">
        <v>154</v>
      </c>
      <c r="C48" s="511"/>
      <c r="D48" s="180" t="s">
        <v>155</v>
      </c>
      <c r="E48" s="180" t="str">
        <f>E47</f>
        <v>BLACK</v>
      </c>
      <c r="F48" s="129" t="s">
        <v>59</v>
      </c>
      <c r="G48" s="181">
        <f>$P$20</f>
        <v>0</v>
      </c>
      <c r="H48" s="312">
        <v>0.3</v>
      </c>
      <c r="I48" s="313">
        <f t="shared" si="6"/>
        <v>0</v>
      </c>
      <c r="J48" s="313"/>
      <c r="K48" s="313"/>
      <c r="L48" s="314"/>
      <c r="M48" s="512"/>
      <c r="N48" s="513"/>
      <c r="O48" s="513"/>
      <c r="P48" s="514"/>
    </row>
    <row r="49" spans="1:16" s="128" customFormat="1" ht="129" hidden="1" customHeight="1">
      <c r="A49" s="129">
        <v>3</v>
      </c>
      <c r="B49" s="515" t="s">
        <v>156</v>
      </c>
      <c r="C49" s="515"/>
      <c r="D49" s="180" t="s">
        <v>157</v>
      </c>
      <c r="E49" s="180" t="str">
        <f>E48</f>
        <v>BLACK</v>
      </c>
      <c r="F49" s="129" t="s">
        <v>59</v>
      </c>
      <c r="G49" s="181">
        <f t="shared" ref="G49" si="7">$P$20</f>
        <v>0</v>
      </c>
      <c r="H49" s="130">
        <v>0.3</v>
      </c>
      <c r="I49" s="313">
        <f t="shared" si="6"/>
        <v>0</v>
      </c>
      <c r="J49" s="313"/>
      <c r="K49" s="313"/>
      <c r="L49" s="314"/>
      <c r="M49" s="512"/>
      <c r="N49" s="513"/>
      <c r="O49" s="513"/>
      <c r="P49" s="514"/>
    </row>
    <row r="50" spans="1:16" s="34" customFormat="1" ht="51.75" customHeight="1">
      <c r="A50" s="524" t="str">
        <f>D23</f>
        <v>GREY HEATHER</v>
      </c>
      <c r="B50" s="525"/>
      <c r="C50" s="525"/>
      <c r="D50" s="525"/>
      <c r="E50" s="525"/>
      <c r="F50" s="525"/>
      <c r="G50" s="525"/>
      <c r="H50" s="525"/>
      <c r="I50" s="525"/>
      <c r="J50" s="525"/>
      <c r="K50" s="525"/>
      <c r="L50" s="525"/>
      <c r="M50" s="525"/>
      <c r="N50" s="525"/>
      <c r="O50" s="525"/>
      <c r="P50" s="526"/>
    </row>
    <row r="51" spans="1:16" s="128" customFormat="1" ht="186.75" customHeight="1">
      <c r="A51" s="129">
        <v>1</v>
      </c>
      <c r="B51" s="511" t="str">
        <f>$L$11</f>
        <v>100% DRY COTTON FLEECE 410GSM</v>
      </c>
      <c r="C51" s="511"/>
      <c r="D51" s="180" t="s">
        <v>153</v>
      </c>
      <c r="E51" s="180" t="str">
        <f>A50</f>
        <v>GREY HEATHER</v>
      </c>
      <c r="F51" s="129" t="s">
        <v>59</v>
      </c>
      <c r="G51" s="181">
        <f>$P$25</f>
        <v>769</v>
      </c>
      <c r="H51" s="315">
        <v>0.61</v>
      </c>
      <c r="I51" s="313">
        <f t="shared" ref="I51:I53" si="8">G51*H51</f>
        <v>469.09</v>
      </c>
      <c r="J51" s="174">
        <f>I51*0.7%+(I51/50)*0.5+4</f>
        <v>11.97453</v>
      </c>
      <c r="K51" s="173">
        <v>2</v>
      </c>
      <c r="L51" s="316">
        <f>SUBTOTAL(9,I51:K51)</f>
        <v>483.06452999999999</v>
      </c>
      <c r="M51" s="512" t="s">
        <v>158</v>
      </c>
      <c r="N51" s="513"/>
      <c r="O51" s="513"/>
      <c r="P51" s="514"/>
    </row>
    <row r="52" spans="1:16" s="128" customFormat="1" ht="186.75" customHeight="1">
      <c r="A52" s="129">
        <v>2</v>
      </c>
      <c r="B52" s="511" t="s">
        <v>154</v>
      </c>
      <c r="C52" s="511"/>
      <c r="D52" s="180" t="s">
        <v>155</v>
      </c>
      <c r="E52" s="180" t="str">
        <f>E51</f>
        <v>GREY HEATHER</v>
      </c>
      <c r="F52" s="129" t="s">
        <v>59</v>
      </c>
      <c r="G52" s="181">
        <f t="shared" ref="G52:G53" si="9">$P$25</f>
        <v>769</v>
      </c>
      <c r="H52" s="312">
        <v>0.255</v>
      </c>
      <c r="I52" s="313">
        <f t="shared" si="8"/>
        <v>196.095</v>
      </c>
      <c r="J52" s="176">
        <f>I52*0.7%+(I52/50)*0.5+2</f>
        <v>5.333615</v>
      </c>
      <c r="K52" s="175"/>
      <c r="L52" s="314">
        <f t="shared" ref="L52:L53" si="10">SUBTOTAL(9,I52:K52)</f>
        <v>201.42861500000001</v>
      </c>
      <c r="M52" s="512" t="s">
        <v>159</v>
      </c>
      <c r="N52" s="513"/>
      <c r="O52" s="513"/>
      <c r="P52" s="514"/>
    </row>
    <row r="53" spans="1:16" s="128" customFormat="1" ht="186.75" customHeight="1">
      <c r="A53" s="129">
        <v>3</v>
      </c>
      <c r="B53" s="515" t="s">
        <v>156</v>
      </c>
      <c r="C53" s="515"/>
      <c r="D53" s="180" t="s">
        <v>157</v>
      </c>
      <c r="E53" s="180" t="str">
        <f>E52</f>
        <v>GREY HEATHER</v>
      </c>
      <c r="F53" s="129" t="s">
        <v>59</v>
      </c>
      <c r="G53" s="181">
        <f t="shared" si="9"/>
        <v>769</v>
      </c>
      <c r="H53" s="130">
        <v>1.4999999999999999E-2</v>
      </c>
      <c r="I53" s="313">
        <f t="shared" si="8"/>
        <v>11.535</v>
      </c>
      <c r="J53" s="176">
        <f>I53*0.7%+(I53/50)*0.5+1</f>
        <v>1.1960950000000001</v>
      </c>
      <c r="K53" s="175"/>
      <c r="L53" s="314">
        <f t="shared" si="10"/>
        <v>12.731095</v>
      </c>
      <c r="M53" s="512" t="s">
        <v>160</v>
      </c>
      <c r="N53" s="513"/>
      <c r="O53" s="513"/>
      <c r="P53" s="514"/>
    </row>
    <row r="54" spans="1:16" s="34" customFormat="1" ht="51.75" hidden="1" customHeight="1">
      <c r="A54" s="524" t="str">
        <f>D28</f>
        <v>WASHED BURGUNDY</v>
      </c>
      <c r="B54" s="525"/>
      <c r="C54" s="525"/>
      <c r="D54" s="525"/>
      <c r="E54" s="525"/>
      <c r="F54" s="525"/>
      <c r="G54" s="525"/>
      <c r="H54" s="525"/>
      <c r="I54" s="525"/>
      <c r="J54" s="525"/>
      <c r="K54" s="525"/>
      <c r="L54" s="525"/>
      <c r="M54" s="525"/>
      <c r="N54" s="525"/>
      <c r="O54" s="525"/>
      <c r="P54" s="526"/>
    </row>
    <row r="55" spans="1:16" s="128" customFormat="1" ht="96.75" hidden="1" customHeight="1">
      <c r="A55" s="129">
        <v>1</v>
      </c>
      <c r="B55" s="511" t="str">
        <f>$L$11</f>
        <v>100% DRY COTTON FLEECE 410GSM</v>
      </c>
      <c r="C55" s="511"/>
      <c r="D55" s="180" t="s">
        <v>153</v>
      </c>
      <c r="E55" s="180" t="str">
        <f>A54</f>
        <v>WASHED BURGUNDY</v>
      </c>
      <c r="F55" s="129" t="s">
        <v>59</v>
      </c>
      <c r="G55" s="181">
        <f>$P$20</f>
        <v>0</v>
      </c>
      <c r="H55" s="312">
        <v>1.5</v>
      </c>
      <c r="I55" s="313">
        <f t="shared" ref="I55:I57" si="11">G55*H55</f>
        <v>0</v>
      </c>
      <c r="J55" s="313"/>
      <c r="K55" s="313"/>
      <c r="L55" s="314"/>
      <c r="M55" s="512"/>
      <c r="N55" s="513"/>
      <c r="O55" s="513"/>
      <c r="P55" s="514"/>
    </row>
    <row r="56" spans="1:16" s="128" customFormat="1" ht="70.5" hidden="1" customHeight="1">
      <c r="A56" s="129">
        <v>2</v>
      </c>
      <c r="B56" s="511" t="s">
        <v>154</v>
      </c>
      <c r="C56" s="511"/>
      <c r="D56" s="180" t="s">
        <v>155</v>
      </c>
      <c r="E56" s="180" t="str">
        <f>E55</f>
        <v>WASHED BURGUNDY</v>
      </c>
      <c r="F56" s="129" t="s">
        <v>59</v>
      </c>
      <c r="G56" s="181">
        <f>$P$20</f>
        <v>0</v>
      </c>
      <c r="H56" s="312">
        <v>0.3</v>
      </c>
      <c r="I56" s="313">
        <f t="shared" si="11"/>
        <v>0</v>
      </c>
      <c r="J56" s="313"/>
      <c r="K56" s="313"/>
      <c r="L56" s="314"/>
      <c r="M56" s="512"/>
      <c r="N56" s="513"/>
      <c r="O56" s="513"/>
      <c r="P56" s="514"/>
    </row>
    <row r="57" spans="1:16" s="128" customFormat="1" ht="125.25" hidden="1" customHeight="1">
      <c r="A57" s="129">
        <v>3</v>
      </c>
      <c r="B57" s="515" t="s">
        <v>156</v>
      </c>
      <c r="C57" s="515"/>
      <c r="D57" s="180" t="s">
        <v>157</v>
      </c>
      <c r="E57" s="180" t="str">
        <f>E56</f>
        <v>WASHED BURGUNDY</v>
      </c>
      <c r="F57" s="129" t="s">
        <v>59</v>
      </c>
      <c r="G57" s="181">
        <f t="shared" ref="G57" si="12">$P$20</f>
        <v>0</v>
      </c>
      <c r="H57" s="130">
        <v>0.3</v>
      </c>
      <c r="I57" s="313">
        <f t="shared" si="11"/>
        <v>0</v>
      </c>
      <c r="J57" s="313"/>
      <c r="K57" s="313"/>
      <c r="L57" s="314"/>
      <c r="M57" s="512"/>
      <c r="N57" s="513"/>
      <c r="O57" s="513"/>
      <c r="P57" s="514"/>
    </row>
    <row r="58" spans="1:16" s="34" customFormat="1" ht="51.75" hidden="1" customHeight="1">
      <c r="A58" s="524" t="str">
        <f>D33</f>
        <v>LIME</v>
      </c>
      <c r="B58" s="525"/>
      <c r="C58" s="525"/>
      <c r="D58" s="525"/>
      <c r="E58" s="525"/>
      <c r="F58" s="525"/>
      <c r="G58" s="525"/>
      <c r="H58" s="525"/>
      <c r="I58" s="525"/>
      <c r="J58" s="525"/>
      <c r="K58" s="525"/>
      <c r="L58" s="525"/>
      <c r="M58" s="525"/>
      <c r="N58" s="525"/>
      <c r="O58" s="525"/>
      <c r="P58" s="526"/>
    </row>
    <row r="59" spans="1:16" s="128" customFormat="1" ht="96.75" hidden="1" customHeight="1">
      <c r="A59" s="129">
        <v>1</v>
      </c>
      <c r="B59" s="511" t="str">
        <f>$L$11</f>
        <v>100% DRY COTTON FLEECE 410GSM</v>
      </c>
      <c r="C59" s="511"/>
      <c r="D59" s="180" t="s">
        <v>153</v>
      </c>
      <c r="E59" s="180" t="str">
        <f>A58</f>
        <v>LIME</v>
      </c>
      <c r="F59" s="129" t="s">
        <v>59</v>
      </c>
      <c r="G59" s="181">
        <f>$P$20</f>
        <v>0</v>
      </c>
      <c r="H59" s="312">
        <v>1.5</v>
      </c>
      <c r="I59" s="313">
        <f t="shared" ref="I59:I61" si="13">G59*H59</f>
        <v>0</v>
      </c>
      <c r="J59" s="313"/>
      <c r="K59" s="313"/>
      <c r="L59" s="314"/>
      <c r="M59" s="512"/>
      <c r="N59" s="513"/>
      <c r="O59" s="513"/>
      <c r="P59" s="514"/>
    </row>
    <row r="60" spans="1:16" s="128" customFormat="1" ht="70.5" hidden="1" customHeight="1">
      <c r="A60" s="129">
        <v>2</v>
      </c>
      <c r="B60" s="511" t="s">
        <v>154</v>
      </c>
      <c r="C60" s="511"/>
      <c r="D60" s="180" t="s">
        <v>155</v>
      </c>
      <c r="E60" s="180" t="str">
        <f>E59</f>
        <v>LIME</v>
      </c>
      <c r="F60" s="129" t="s">
        <v>59</v>
      </c>
      <c r="G60" s="181">
        <f>$P$20</f>
        <v>0</v>
      </c>
      <c r="H60" s="312">
        <v>0.3</v>
      </c>
      <c r="I60" s="313">
        <f t="shared" si="13"/>
        <v>0</v>
      </c>
      <c r="J60" s="313"/>
      <c r="K60" s="313"/>
      <c r="L60" s="314"/>
      <c r="M60" s="512"/>
      <c r="N60" s="513"/>
      <c r="O60" s="513"/>
      <c r="P60" s="514"/>
    </row>
    <row r="61" spans="1:16" s="128" customFormat="1" ht="125.25" hidden="1" customHeight="1">
      <c r="A61" s="129">
        <v>3</v>
      </c>
      <c r="B61" s="515" t="s">
        <v>156</v>
      </c>
      <c r="C61" s="515"/>
      <c r="D61" s="180" t="s">
        <v>157</v>
      </c>
      <c r="E61" s="180" t="str">
        <f>E60</f>
        <v>LIME</v>
      </c>
      <c r="F61" s="129" t="s">
        <v>59</v>
      </c>
      <c r="G61" s="181">
        <f t="shared" ref="G61" si="14">$P$20</f>
        <v>0</v>
      </c>
      <c r="H61" s="130">
        <v>0.3</v>
      </c>
      <c r="I61" s="313">
        <f t="shared" si="13"/>
        <v>0</v>
      </c>
      <c r="J61" s="313"/>
      <c r="K61" s="313"/>
      <c r="L61" s="314"/>
      <c r="M61" s="512"/>
      <c r="N61" s="513"/>
      <c r="O61" s="513"/>
      <c r="P61" s="514"/>
    </row>
    <row r="62" spans="1:16" s="34" customFormat="1" ht="21.75" customHeight="1">
      <c r="A62" s="524"/>
      <c r="B62" s="525"/>
      <c r="C62" s="525"/>
      <c r="D62" s="525"/>
      <c r="E62" s="525"/>
      <c r="F62" s="525"/>
      <c r="G62" s="525"/>
      <c r="H62" s="525"/>
      <c r="I62" s="525"/>
      <c r="J62" s="525"/>
      <c r="K62" s="525"/>
      <c r="L62" s="525"/>
      <c r="M62" s="525"/>
      <c r="N62" s="525"/>
      <c r="O62" s="525"/>
      <c r="P62" s="526"/>
    </row>
    <row r="63" spans="1:16" s="26" customFormat="1" ht="33.75" thickBot="1">
      <c r="B63" s="87" t="s">
        <v>62</v>
      </c>
      <c r="C63" s="27"/>
      <c r="D63" s="27"/>
      <c r="E63" s="27"/>
      <c r="G63" s="28"/>
      <c r="P63" s="29"/>
    </row>
    <row r="64" spans="1:16" s="40" customFormat="1" ht="96">
      <c r="A64" s="527" t="s">
        <v>63</v>
      </c>
      <c r="B64" s="528"/>
      <c r="C64" s="528"/>
      <c r="D64" s="528"/>
      <c r="E64" s="529"/>
      <c r="F64" s="84" t="s">
        <v>64</v>
      </c>
      <c r="G64" s="84" t="s">
        <v>65</v>
      </c>
      <c r="H64" s="530" t="s">
        <v>66</v>
      </c>
      <c r="I64" s="531"/>
      <c r="J64" s="85" t="s">
        <v>49</v>
      </c>
      <c r="K64" s="84" t="s">
        <v>67</v>
      </c>
      <c r="L64" s="84" t="s">
        <v>68</v>
      </c>
      <c r="M64" s="86" t="s">
        <v>69</v>
      </c>
      <c r="N64" s="86" t="s">
        <v>70</v>
      </c>
      <c r="O64" s="86" t="s">
        <v>71</v>
      </c>
      <c r="P64" s="86" t="s">
        <v>72</v>
      </c>
    </row>
    <row r="65" spans="1:16" s="15" customFormat="1" ht="57.75" hidden="1" customHeight="1">
      <c r="A65" s="317">
        <v>1</v>
      </c>
      <c r="B65" s="532" t="s">
        <v>73</v>
      </c>
      <c r="C65" s="532"/>
      <c r="D65" s="532"/>
      <c r="E65" s="532"/>
      <c r="F65" s="288" t="str">
        <f>H65</f>
        <v>BLACK</v>
      </c>
      <c r="G65" s="318"/>
      <c r="H65" s="533" t="str">
        <f>$D$18</f>
        <v>BLACK</v>
      </c>
      <c r="I65" s="534" t="str">
        <f t="shared" ref="I65:I88" si="15">$E$47</f>
        <v>BLACK</v>
      </c>
      <c r="J65" s="319" t="s">
        <v>74</v>
      </c>
      <c r="K65" s="319">
        <f>$P$20</f>
        <v>0</v>
      </c>
      <c r="L65" s="320">
        <f>195/5000</f>
        <v>3.9E-2</v>
      </c>
      <c r="M65" s="321">
        <f t="shared" ref="M65:M72" si="16">K65*L65</f>
        <v>0</v>
      </c>
      <c r="N65" s="321"/>
      <c r="O65" s="322">
        <f t="shared" ref="O65:O88" si="17">ROUNDUP(N65+M65,0)</f>
        <v>0</v>
      </c>
      <c r="P65" s="323"/>
    </row>
    <row r="66" spans="1:16" s="15" customFormat="1" ht="84" customHeight="1">
      <c r="A66" s="317">
        <v>1</v>
      </c>
      <c r="B66" s="532" t="s">
        <v>73</v>
      </c>
      <c r="C66" s="532"/>
      <c r="D66" s="532"/>
      <c r="E66" s="532"/>
      <c r="F66" s="288" t="str">
        <f t="shared" ref="F66:F68" si="18">H66</f>
        <v>GREY HEATHER</v>
      </c>
      <c r="G66" s="318" t="s">
        <v>161</v>
      </c>
      <c r="H66" s="533" t="str">
        <f>$D$23</f>
        <v>GREY HEATHER</v>
      </c>
      <c r="I66" s="534" t="str">
        <f t="shared" si="15"/>
        <v>BLACK</v>
      </c>
      <c r="J66" s="319" t="s">
        <v>74</v>
      </c>
      <c r="K66" s="319">
        <f>$P$25</f>
        <v>769</v>
      </c>
      <c r="L66" s="320">
        <f>185/5000</f>
        <v>3.6999999999999998E-2</v>
      </c>
      <c r="M66" s="321">
        <f t="shared" si="16"/>
        <v>28.452999999999999</v>
      </c>
      <c r="N66" s="321"/>
      <c r="O66" s="322">
        <f t="shared" si="17"/>
        <v>29</v>
      </c>
      <c r="P66" s="323"/>
    </row>
    <row r="67" spans="1:16" s="15" customFormat="1" ht="57.75" hidden="1" customHeight="1">
      <c r="A67" s="317">
        <v>1</v>
      </c>
      <c r="B67" s="532" t="s">
        <v>73</v>
      </c>
      <c r="C67" s="532"/>
      <c r="D67" s="532"/>
      <c r="E67" s="532"/>
      <c r="F67" s="288" t="str">
        <f t="shared" si="18"/>
        <v>WASHED BURGUNDY</v>
      </c>
      <c r="G67" s="318"/>
      <c r="H67" s="533" t="str">
        <f>$D$28</f>
        <v>WASHED BURGUNDY</v>
      </c>
      <c r="I67" s="534" t="str">
        <f t="shared" si="15"/>
        <v>BLACK</v>
      </c>
      <c r="J67" s="319" t="s">
        <v>74</v>
      </c>
      <c r="K67" s="319">
        <f>$P$30</f>
        <v>0</v>
      </c>
      <c r="L67" s="320">
        <f>195/5000</f>
        <v>3.9E-2</v>
      </c>
      <c r="M67" s="321">
        <f t="shared" si="16"/>
        <v>0</v>
      </c>
      <c r="N67" s="321"/>
      <c r="O67" s="322">
        <f t="shared" si="17"/>
        <v>0</v>
      </c>
      <c r="P67" s="323"/>
    </row>
    <row r="68" spans="1:16" s="15" customFormat="1" ht="57.75" hidden="1" customHeight="1">
      <c r="A68" s="317">
        <v>1</v>
      </c>
      <c r="B68" s="532" t="s">
        <v>73</v>
      </c>
      <c r="C68" s="532"/>
      <c r="D68" s="532"/>
      <c r="E68" s="532"/>
      <c r="F68" s="288" t="str">
        <f t="shared" si="18"/>
        <v>LIME</v>
      </c>
      <c r="G68" s="318"/>
      <c r="H68" s="533" t="str">
        <f>$D$33</f>
        <v>LIME</v>
      </c>
      <c r="I68" s="534" t="str">
        <f t="shared" si="15"/>
        <v>BLACK</v>
      </c>
      <c r="J68" s="319" t="s">
        <v>74</v>
      </c>
      <c r="K68" s="319">
        <f>$P$35</f>
        <v>0</v>
      </c>
      <c r="L68" s="320">
        <f>195/5000</f>
        <v>3.9E-2</v>
      </c>
      <c r="M68" s="321">
        <f t="shared" si="16"/>
        <v>0</v>
      </c>
      <c r="N68" s="321"/>
      <c r="O68" s="322">
        <f t="shared" si="17"/>
        <v>0</v>
      </c>
      <c r="P68" s="323"/>
    </row>
    <row r="69" spans="1:16" s="15" customFormat="1" ht="57.75" hidden="1" customHeight="1">
      <c r="A69" s="317">
        <v>2</v>
      </c>
      <c r="B69" s="532" t="s">
        <v>162</v>
      </c>
      <c r="C69" s="532"/>
      <c r="D69" s="532"/>
      <c r="E69" s="532"/>
      <c r="F69" s="535" t="s">
        <v>40</v>
      </c>
      <c r="G69" s="539" t="s">
        <v>163</v>
      </c>
      <c r="H69" s="543" t="str">
        <f t="shared" ref="H69" si="19">$D$18</f>
        <v>BLACK</v>
      </c>
      <c r="I69" s="544" t="str">
        <f t="shared" si="15"/>
        <v>BLACK</v>
      </c>
      <c r="J69" s="319" t="s">
        <v>74</v>
      </c>
      <c r="K69" s="319">
        <f t="shared" ref="K69" si="20">$P$20</f>
        <v>0</v>
      </c>
      <c r="L69" s="324">
        <f>4/4500</f>
        <v>8.8888888888888893E-4</v>
      </c>
      <c r="M69" s="321">
        <f t="shared" si="16"/>
        <v>0</v>
      </c>
      <c r="N69" s="321"/>
      <c r="O69" s="322">
        <f t="shared" si="17"/>
        <v>0</v>
      </c>
      <c r="P69" s="323"/>
    </row>
    <row r="70" spans="1:16" s="15" customFormat="1" ht="84" customHeight="1">
      <c r="A70" s="317">
        <v>2</v>
      </c>
      <c r="B70" s="532" t="s">
        <v>162</v>
      </c>
      <c r="C70" s="532"/>
      <c r="D70" s="532"/>
      <c r="E70" s="532"/>
      <c r="F70" s="536" t="s">
        <v>40</v>
      </c>
      <c r="G70" s="540" t="s">
        <v>163</v>
      </c>
      <c r="H70" s="545" t="str">
        <f t="shared" ref="H70" si="21">$D$23</f>
        <v>GREY HEATHER</v>
      </c>
      <c r="I70" s="545" t="str">
        <f t="shared" si="15"/>
        <v>BLACK</v>
      </c>
      <c r="J70" s="319" t="s">
        <v>74</v>
      </c>
      <c r="K70" s="319">
        <f t="shared" ref="K70" si="22">$P$25</f>
        <v>769</v>
      </c>
      <c r="L70" s="324">
        <f>4/4500</f>
        <v>8.8888888888888893E-4</v>
      </c>
      <c r="M70" s="321">
        <f t="shared" si="16"/>
        <v>0.68355555555555558</v>
      </c>
      <c r="N70" s="321"/>
      <c r="O70" s="322">
        <f t="shared" si="17"/>
        <v>1</v>
      </c>
      <c r="P70" s="323"/>
    </row>
    <row r="71" spans="1:16" s="15" customFormat="1" ht="57.75" hidden="1" customHeight="1">
      <c r="A71" s="317">
        <v>2</v>
      </c>
      <c r="B71" s="532" t="s">
        <v>162</v>
      </c>
      <c r="C71" s="532"/>
      <c r="D71" s="532"/>
      <c r="E71" s="532"/>
      <c r="F71" s="537" t="s">
        <v>40</v>
      </c>
      <c r="G71" s="541" t="s">
        <v>163</v>
      </c>
      <c r="H71" s="546" t="str">
        <f t="shared" ref="H71" si="23">$D$28</f>
        <v>WASHED BURGUNDY</v>
      </c>
      <c r="I71" s="547" t="str">
        <f t="shared" si="15"/>
        <v>BLACK</v>
      </c>
      <c r="J71" s="319" t="s">
        <v>74</v>
      </c>
      <c r="K71" s="319">
        <f t="shared" ref="K71" si="24">$P$30</f>
        <v>0</v>
      </c>
      <c r="L71" s="324">
        <f>4/4500</f>
        <v>8.8888888888888893E-4</v>
      </c>
      <c r="M71" s="321">
        <f t="shared" si="16"/>
        <v>0</v>
      </c>
      <c r="N71" s="321"/>
      <c r="O71" s="322">
        <f t="shared" si="17"/>
        <v>0</v>
      </c>
      <c r="P71" s="323"/>
    </row>
    <row r="72" spans="1:16" s="15" customFormat="1" ht="57.75" hidden="1" customHeight="1">
      <c r="A72" s="317">
        <v>2</v>
      </c>
      <c r="B72" s="532" t="s">
        <v>162</v>
      </c>
      <c r="C72" s="532"/>
      <c r="D72" s="532"/>
      <c r="E72" s="532"/>
      <c r="F72" s="538" t="s">
        <v>40</v>
      </c>
      <c r="G72" s="542" t="s">
        <v>163</v>
      </c>
      <c r="H72" s="533" t="str">
        <f t="shared" ref="H72" si="25">$D$33</f>
        <v>LIME</v>
      </c>
      <c r="I72" s="534" t="str">
        <f t="shared" si="15"/>
        <v>BLACK</v>
      </c>
      <c r="J72" s="319" t="s">
        <v>74</v>
      </c>
      <c r="K72" s="319">
        <f t="shared" ref="K72" si="26">$P$35</f>
        <v>0</v>
      </c>
      <c r="L72" s="324">
        <f>4/4500</f>
        <v>8.8888888888888893E-4</v>
      </c>
      <c r="M72" s="321">
        <f t="shared" si="16"/>
        <v>0</v>
      </c>
      <c r="N72" s="321"/>
      <c r="O72" s="322">
        <f t="shared" si="17"/>
        <v>0</v>
      </c>
      <c r="P72" s="323"/>
    </row>
    <row r="73" spans="1:16" s="15" customFormat="1" ht="57.75" hidden="1" customHeight="1">
      <c r="A73" s="317">
        <v>3</v>
      </c>
      <c r="B73" s="548" t="s">
        <v>164</v>
      </c>
      <c r="C73" s="532"/>
      <c r="D73" s="532"/>
      <c r="E73" s="532"/>
      <c r="F73" s="535" t="s">
        <v>81</v>
      </c>
      <c r="G73" s="539" t="s">
        <v>165</v>
      </c>
      <c r="H73" s="543" t="str">
        <f t="shared" ref="H73" si="27">$D$18</f>
        <v>BLACK</v>
      </c>
      <c r="I73" s="544" t="str">
        <f t="shared" si="15"/>
        <v>BLACK</v>
      </c>
      <c r="J73" s="319" t="s">
        <v>79</v>
      </c>
      <c r="K73" s="319">
        <f t="shared" ref="K73" si="28">$P$20</f>
        <v>0</v>
      </c>
      <c r="L73" s="319">
        <v>1</v>
      </c>
      <c r="M73" s="319">
        <f t="shared" ref="M73:M84" si="29">L73*K73</f>
        <v>0</v>
      </c>
      <c r="N73" s="321"/>
      <c r="O73" s="322">
        <f t="shared" si="17"/>
        <v>0</v>
      </c>
      <c r="P73" s="323"/>
    </row>
    <row r="74" spans="1:16" s="15" customFormat="1" ht="84" customHeight="1">
      <c r="A74" s="317">
        <v>3</v>
      </c>
      <c r="B74" s="548" t="s">
        <v>164</v>
      </c>
      <c r="C74" s="532"/>
      <c r="D74" s="532"/>
      <c r="E74" s="532"/>
      <c r="F74" s="536"/>
      <c r="G74" s="540"/>
      <c r="H74" s="545" t="str">
        <f t="shared" ref="H74" si="30">$D$23</f>
        <v>GREY HEATHER</v>
      </c>
      <c r="I74" s="545" t="str">
        <f t="shared" si="15"/>
        <v>BLACK</v>
      </c>
      <c r="J74" s="319" t="s">
        <v>79</v>
      </c>
      <c r="K74" s="319">
        <f t="shared" ref="K74" si="31">$P$25</f>
        <v>769</v>
      </c>
      <c r="L74" s="319">
        <v>1</v>
      </c>
      <c r="M74" s="319">
        <f t="shared" si="29"/>
        <v>769</v>
      </c>
      <c r="N74" s="321"/>
      <c r="O74" s="322">
        <f t="shared" si="17"/>
        <v>769</v>
      </c>
      <c r="P74" s="323"/>
    </row>
    <row r="75" spans="1:16" s="15" customFormat="1" ht="57.75" hidden="1" customHeight="1">
      <c r="A75" s="317">
        <v>3</v>
      </c>
      <c r="B75" s="548" t="s">
        <v>164</v>
      </c>
      <c r="C75" s="532"/>
      <c r="D75" s="532"/>
      <c r="E75" s="532"/>
      <c r="F75" s="537"/>
      <c r="G75" s="541"/>
      <c r="H75" s="546" t="str">
        <f t="shared" ref="H75" si="32">$D$28</f>
        <v>WASHED BURGUNDY</v>
      </c>
      <c r="I75" s="547" t="str">
        <f t="shared" si="15"/>
        <v>BLACK</v>
      </c>
      <c r="J75" s="319" t="s">
        <v>79</v>
      </c>
      <c r="K75" s="319">
        <f t="shared" ref="K75" si="33">$P$30</f>
        <v>0</v>
      </c>
      <c r="L75" s="319">
        <v>1</v>
      </c>
      <c r="M75" s="319">
        <f t="shared" si="29"/>
        <v>0</v>
      </c>
      <c r="N75" s="321"/>
      <c r="O75" s="322">
        <f t="shared" si="17"/>
        <v>0</v>
      </c>
      <c r="P75" s="323"/>
    </row>
    <row r="76" spans="1:16" s="15" customFormat="1" ht="57.75" hidden="1" customHeight="1">
      <c r="A76" s="317">
        <v>3</v>
      </c>
      <c r="B76" s="548" t="s">
        <v>164</v>
      </c>
      <c r="C76" s="532"/>
      <c r="D76" s="532"/>
      <c r="E76" s="532"/>
      <c r="F76" s="538"/>
      <c r="G76" s="542"/>
      <c r="H76" s="533" t="str">
        <f t="shared" ref="H76" si="34">$D$33</f>
        <v>LIME</v>
      </c>
      <c r="I76" s="534" t="str">
        <f t="shared" si="15"/>
        <v>BLACK</v>
      </c>
      <c r="J76" s="319" t="s">
        <v>79</v>
      </c>
      <c r="K76" s="319">
        <f t="shared" ref="K76" si="35">$P$35</f>
        <v>0</v>
      </c>
      <c r="L76" s="319">
        <v>1</v>
      </c>
      <c r="M76" s="319">
        <f t="shared" si="29"/>
        <v>0</v>
      </c>
      <c r="N76" s="321"/>
      <c r="O76" s="322">
        <f t="shared" si="17"/>
        <v>0</v>
      </c>
      <c r="P76" s="323"/>
    </row>
    <row r="77" spans="1:16" s="15" customFormat="1" ht="57.75" hidden="1" customHeight="1">
      <c r="A77" s="317">
        <v>4</v>
      </c>
      <c r="B77" s="548" t="s">
        <v>166</v>
      </c>
      <c r="C77" s="532"/>
      <c r="D77" s="532"/>
      <c r="E77" s="532"/>
      <c r="F77" s="535" t="s">
        <v>81</v>
      </c>
      <c r="G77" s="539" t="s">
        <v>167</v>
      </c>
      <c r="H77" s="543" t="str">
        <f t="shared" ref="H77" si="36">$D$18</f>
        <v>BLACK</v>
      </c>
      <c r="I77" s="544" t="str">
        <f t="shared" si="15"/>
        <v>BLACK</v>
      </c>
      <c r="J77" s="319" t="s">
        <v>79</v>
      </c>
      <c r="K77" s="319">
        <f t="shared" ref="K77" si="37">$P$20</f>
        <v>0</v>
      </c>
      <c r="L77" s="319">
        <v>1</v>
      </c>
      <c r="M77" s="319">
        <f t="shared" si="29"/>
        <v>0</v>
      </c>
      <c r="N77" s="321"/>
      <c r="O77" s="322">
        <f t="shared" si="17"/>
        <v>0</v>
      </c>
      <c r="P77" s="323"/>
    </row>
    <row r="78" spans="1:16" s="15" customFormat="1" ht="84" customHeight="1">
      <c r="A78" s="317">
        <v>4</v>
      </c>
      <c r="B78" s="548" t="s">
        <v>166</v>
      </c>
      <c r="C78" s="532"/>
      <c r="D78" s="532"/>
      <c r="E78" s="532"/>
      <c r="F78" s="536"/>
      <c r="G78" s="540"/>
      <c r="H78" s="545" t="str">
        <f t="shared" ref="H78" si="38">$D$23</f>
        <v>GREY HEATHER</v>
      </c>
      <c r="I78" s="545" t="str">
        <f t="shared" si="15"/>
        <v>BLACK</v>
      </c>
      <c r="J78" s="319" t="s">
        <v>79</v>
      </c>
      <c r="K78" s="319">
        <f t="shared" ref="K78" si="39">$P$25</f>
        <v>769</v>
      </c>
      <c r="L78" s="319">
        <v>1</v>
      </c>
      <c r="M78" s="319">
        <f t="shared" si="29"/>
        <v>769</v>
      </c>
      <c r="N78" s="321"/>
      <c r="O78" s="322">
        <f t="shared" si="17"/>
        <v>769</v>
      </c>
      <c r="P78" s="323"/>
    </row>
    <row r="79" spans="1:16" s="15" customFormat="1" ht="57.75" hidden="1" customHeight="1">
      <c r="A79" s="317">
        <v>4</v>
      </c>
      <c r="B79" s="548" t="s">
        <v>166</v>
      </c>
      <c r="C79" s="532"/>
      <c r="D79" s="532"/>
      <c r="E79" s="532"/>
      <c r="F79" s="537"/>
      <c r="G79" s="541"/>
      <c r="H79" s="546" t="str">
        <f t="shared" ref="H79" si="40">$D$28</f>
        <v>WASHED BURGUNDY</v>
      </c>
      <c r="I79" s="547" t="str">
        <f t="shared" si="15"/>
        <v>BLACK</v>
      </c>
      <c r="J79" s="319" t="s">
        <v>79</v>
      </c>
      <c r="K79" s="319">
        <f t="shared" ref="K79" si="41">$P$30</f>
        <v>0</v>
      </c>
      <c r="L79" s="319">
        <v>1</v>
      </c>
      <c r="M79" s="319">
        <f t="shared" si="29"/>
        <v>0</v>
      </c>
      <c r="N79" s="321"/>
      <c r="O79" s="322">
        <f t="shared" si="17"/>
        <v>0</v>
      </c>
      <c r="P79" s="323"/>
    </row>
    <row r="80" spans="1:16" s="15" customFormat="1" ht="57.75" hidden="1" customHeight="1">
      <c r="A80" s="317">
        <v>4</v>
      </c>
      <c r="B80" s="548" t="s">
        <v>166</v>
      </c>
      <c r="C80" s="532"/>
      <c r="D80" s="532"/>
      <c r="E80" s="532"/>
      <c r="F80" s="538"/>
      <c r="G80" s="542"/>
      <c r="H80" s="533" t="str">
        <f t="shared" ref="H80" si="42">$D$33</f>
        <v>LIME</v>
      </c>
      <c r="I80" s="534" t="str">
        <f t="shared" si="15"/>
        <v>BLACK</v>
      </c>
      <c r="J80" s="319" t="s">
        <v>79</v>
      </c>
      <c r="K80" s="319">
        <f t="shared" ref="K80" si="43">$P$35</f>
        <v>0</v>
      </c>
      <c r="L80" s="319">
        <v>1</v>
      </c>
      <c r="M80" s="319">
        <f t="shared" si="29"/>
        <v>0</v>
      </c>
      <c r="N80" s="321"/>
      <c r="O80" s="322">
        <f t="shared" si="17"/>
        <v>0</v>
      </c>
      <c r="P80" s="323"/>
    </row>
    <row r="81" spans="1:16" s="15" customFormat="1" ht="57.75" hidden="1" customHeight="1">
      <c r="A81" s="317">
        <v>5</v>
      </c>
      <c r="B81" s="548" t="s">
        <v>80</v>
      </c>
      <c r="C81" s="532"/>
      <c r="D81" s="532"/>
      <c r="E81" s="532"/>
      <c r="F81" s="535" t="s">
        <v>168</v>
      </c>
      <c r="G81" s="539"/>
      <c r="H81" s="543" t="str">
        <f t="shared" ref="H81" si="44">$D$18</f>
        <v>BLACK</v>
      </c>
      <c r="I81" s="544" t="str">
        <f t="shared" si="15"/>
        <v>BLACK</v>
      </c>
      <c r="J81" s="319" t="s">
        <v>79</v>
      </c>
      <c r="K81" s="319">
        <f t="shared" ref="K81" si="45">$P$20</f>
        <v>0</v>
      </c>
      <c r="L81" s="319">
        <v>1</v>
      </c>
      <c r="M81" s="319">
        <f t="shared" si="29"/>
        <v>0</v>
      </c>
      <c r="N81" s="321"/>
      <c r="O81" s="322">
        <f t="shared" si="17"/>
        <v>0</v>
      </c>
      <c r="P81" s="323"/>
    </row>
    <row r="82" spans="1:16" s="15" customFormat="1" ht="84" customHeight="1">
      <c r="A82" s="317">
        <v>5</v>
      </c>
      <c r="B82" s="548" t="s">
        <v>80</v>
      </c>
      <c r="C82" s="532"/>
      <c r="D82" s="532"/>
      <c r="E82" s="532"/>
      <c r="F82" s="536"/>
      <c r="G82" s="540"/>
      <c r="H82" s="545" t="str">
        <f t="shared" ref="H82" si="46">$D$23</f>
        <v>GREY HEATHER</v>
      </c>
      <c r="I82" s="545" t="str">
        <f t="shared" si="15"/>
        <v>BLACK</v>
      </c>
      <c r="J82" s="319" t="s">
        <v>79</v>
      </c>
      <c r="K82" s="319">
        <f t="shared" ref="K82" si="47">$P$25</f>
        <v>769</v>
      </c>
      <c r="L82" s="319">
        <v>1</v>
      </c>
      <c r="M82" s="319">
        <f t="shared" si="29"/>
        <v>769</v>
      </c>
      <c r="N82" s="321"/>
      <c r="O82" s="322">
        <f t="shared" si="17"/>
        <v>769</v>
      </c>
      <c r="P82" s="323" t="s">
        <v>169</v>
      </c>
    </row>
    <row r="83" spans="1:16" s="15" customFormat="1" ht="57.75" hidden="1" customHeight="1">
      <c r="A83" s="317">
        <v>5</v>
      </c>
      <c r="B83" s="548" t="s">
        <v>80</v>
      </c>
      <c r="C83" s="532"/>
      <c r="D83" s="532"/>
      <c r="E83" s="532"/>
      <c r="F83" s="537"/>
      <c r="G83" s="541"/>
      <c r="H83" s="546" t="str">
        <f t="shared" ref="H83" si="48">$D$28</f>
        <v>WASHED BURGUNDY</v>
      </c>
      <c r="I83" s="547" t="str">
        <f t="shared" si="15"/>
        <v>BLACK</v>
      </c>
      <c r="J83" s="319" t="s">
        <v>79</v>
      </c>
      <c r="K83" s="319">
        <f t="shared" ref="K83" si="49">$P$30</f>
        <v>0</v>
      </c>
      <c r="L83" s="319">
        <v>1</v>
      </c>
      <c r="M83" s="319">
        <f t="shared" si="29"/>
        <v>0</v>
      </c>
      <c r="N83" s="321"/>
      <c r="O83" s="322">
        <f t="shared" si="17"/>
        <v>0</v>
      </c>
      <c r="P83" s="323"/>
    </row>
    <row r="84" spans="1:16" s="15" customFormat="1" ht="57.75" hidden="1" customHeight="1">
      <c r="A84" s="317">
        <v>5</v>
      </c>
      <c r="B84" s="548" t="s">
        <v>80</v>
      </c>
      <c r="C84" s="532"/>
      <c r="D84" s="532"/>
      <c r="E84" s="532"/>
      <c r="F84" s="538"/>
      <c r="G84" s="542"/>
      <c r="H84" s="533" t="str">
        <f t="shared" ref="H84" si="50">$D$33</f>
        <v>LIME</v>
      </c>
      <c r="I84" s="534" t="str">
        <f t="shared" si="15"/>
        <v>BLACK</v>
      </c>
      <c r="J84" s="319" t="s">
        <v>79</v>
      </c>
      <c r="K84" s="319">
        <f t="shared" ref="K84" si="51">$P$35</f>
        <v>0</v>
      </c>
      <c r="L84" s="319">
        <v>1</v>
      </c>
      <c r="M84" s="319">
        <f t="shared" si="29"/>
        <v>0</v>
      </c>
      <c r="N84" s="321"/>
      <c r="O84" s="322">
        <f t="shared" si="17"/>
        <v>0</v>
      </c>
      <c r="P84" s="323"/>
    </row>
    <row r="85" spans="1:16" s="15" customFormat="1" ht="57.75" hidden="1" customHeight="1">
      <c r="A85" s="317">
        <v>6</v>
      </c>
      <c r="B85" s="532" t="s">
        <v>170</v>
      </c>
      <c r="C85" s="532"/>
      <c r="D85" s="532"/>
      <c r="E85" s="532"/>
      <c r="F85" s="535" t="s">
        <v>171</v>
      </c>
      <c r="G85" s="539" t="s">
        <v>172</v>
      </c>
      <c r="H85" s="543" t="str">
        <f t="shared" ref="H85" si="52">$D$18</f>
        <v>BLACK</v>
      </c>
      <c r="I85" s="544" t="str">
        <f t="shared" si="15"/>
        <v>BLACK</v>
      </c>
      <c r="J85" s="319" t="s">
        <v>79</v>
      </c>
      <c r="K85" s="319">
        <f t="shared" ref="K85" si="53">$P$20</f>
        <v>0</v>
      </c>
      <c r="L85" s="319">
        <v>1</v>
      </c>
      <c r="M85" s="321">
        <f t="shared" ref="M85:M88" si="54">K85*L85</f>
        <v>0</v>
      </c>
      <c r="N85" s="321"/>
      <c r="O85" s="322">
        <f t="shared" si="17"/>
        <v>0</v>
      </c>
      <c r="P85" s="323"/>
    </row>
    <row r="86" spans="1:16" s="15" customFormat="1" ht="95.25" customHeight="1">
      <c r="A86" s="317">
        <v>6</v>
      </c>
      <c r="B86" s="532" t="s">
        <v>170</v>
      </c>
      <c r="C86" s="532"/>
      <c r="D86" s="532"/>
      <c r="E86" s="532"/>
      <c r="F86" s="536"/>
      <c r="G86" s="540"/>
      <c r="H86" s="545" t="str">
        <f t="shared" ref="H86" si="55">$D$23</f>
        <v>GREY HEATHER</v>
      </c>
      <c r="I86" s="545" t="str">
        <f t="shared" si="15"/>
        <v>BLACK</v>
      </c>
      <c r="J86" s="319" t="s">
        <v>79</v>
      </c>
      <c r="K86" s="319">
        <f t="shared" ref="K86" si="56">$P$25</f>
        <v>769</v>
      </c>
      <c r="L86" s="319">
        <v>1</v>
      </c>
      <c r="M86" s="321">
        <f t="shared" si="54"/>
        <v>769</v>
      </c>
      <c r="N86" s="321"/>
      <c r="O86" s="322">
        <f t="shared" si="17"/>
        <v>769</v>
      </c>
      <c r="P86" s="323"/>
    </row>
    <row r="87" spans="1:16" s="15" customFormat="1" ht="33" hidden="1">
      <c r="A87" s="317">
        <v>6</v>
      </c>
      <c r="B87" s="532" t="s">
        <v>170</v>
      </c>
      <c r="C87" s="532"/>
      <c r="D87" s="532"/>
      <c r="E87" s="532"/>
      <c r="F87" s="537"/>
      <c r="G87" s="541"/>
      <c r="H87" s="546" t="str">
        <f t="shared" ref="H87" si="57">$D$28</f>
        <v>WASHED BURGUNDY</v>
      </c>
      <c r="I87" s="547" t="str">
        <f t="shared" si="15"/>
        <v>BLACK</v>
      </c>
      <c r="J87" s="319" t="s">
        <v>79</v>
      </c>
      <c r="K87" s="319">
        <f t="shared" ref="K87" si="58">$P$30</f>
        <v>0</v>
      </c>
      <c r="L87" s="319">
        <v>1</v>
      </c>
      <c r="M87" s="321">
        <f t="shared" si="54"/>
        <v>0</v>
      </c>
      <c r="N87" s="321"/>
      <c r="O87" s="322">
        <f t="shared" si="17"/>
        <v>0</v>
      </c>
      <c r="P87" s="323"/>
    </row>
    <row r="88" spans="1:16" s="15" customFormat="1" ht="33" hidden="1">
      <c r="A88" s="317">
        <v>6</v>
      </c>
      <c r="B88" s="532" t="s">
        <v>170</v>
      </c>
      <c r="C88" s="532"/>
      <c r="D88" s="532"/>
      <c r="E88" s="532"/>
      <c r="F88" s="538"/>
      <c r="G88" s="542"/>
      <c r="H88" s="533" t="str">
        <f t="shared" ref="H88" si="59">$D$33</f>
        <v>LIME</v>
      </c>
      <c r="I88" s="534" t="str">
        <f t="shared" si="15"/>
        <v>BLACK</v>
      </c>
      <c r="J88" s="319" t="s">
        <v>79</v>
      </c>
      <c r="K88" s="319">
        <f t="shared" ref="K88" si="60">$P$35</f>
        <v>0</v>
      </c>
      <c r="L88" s="319">
        <v>1</v>
      </c>
      <c r="M88" s="321">
        <f t="shared" si="54"/>
        <v>0</v>
      </c>
      <c r="N88" s="321"/>
      <c r="O88" s="322">
        <f t="shared" si="17"/>
        <v>0</v>
      </c>
      <c r="P88" s="323"/>
    </row>
    <row r="89" spans="1:16" s="26" customFormat="1" ht="33.75" thickBot="1">
      <c r="B89" s="91" t="s">
        <v>83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527" t="s">
        <v>63</v>
      </c>
      <c r="B90" s="528"/>
      <c r="C90" s="528"/>
      <c r="D90" s="528"/>
      <c r="E90" s="529"/>
      <c r="F90" s="84" t="s">
        <v>64</v>
      </c>
      <c r="G90" s="84" t="s">
        <v>65</v>
      </c>
      <c r="H90" s="530" t="s">
        <v>66</v>
      </c>
      <c r="I90" s="531"/>
      <c r="J90" s="85" t="s">
        <v>49</v>
      </c>
      <c r="K90" s="84" t="s">
        <v>67</v>
      </c>
      <c r="L90" s="84" t="s">
        <v>68</v>
      </c>
      <c r="M90" s="86" t="s">
        <v>69</v>
      </c>
      <c r="N90" s="86" t="s">
        <v>70</v>
      </c>
      <c r="O90" s="86" t="s">
        <v>71</v>
      </c>
      <c r="P90" s="86" t="s">
        <v>72</v>
      </c>
    </row>
    <row r="91" spans="1:16" s="34" customFormat="1" ht="33" hidden="1">
      <c r="A91" s="317">
        <v>1</v>
      </c>
      <c r="B91" s="548" t="s">
        <v>173</v>
      </c>
      <c r="C91" s="532"/>
      <c r="D91" s="532"/>
      <c r="E91" s="532"/>
      <c r="F91" s="535" t="s">
        <v>168</v>
      </c>
      <c r="G91" s="539" t="s">
        <v>174</v>
      </c>
      <c r="H91" s="533" t="str">
        <f t="shared" ref="H91" si="61">$D$18</f>
        <v>BLACK</v>
      </c>
      <c r="I91" s="534" t="str">
        <f t="shared" ref="I91:I126" si="62">$E$47</f>
        <v>BLACK</v>
      </c>
      <c r="J91" s="319" t="s">
        <v>87</v>
      </c>
      <c r="K91" s="319">
        <f t="shared" ref="K91:K123" si="63">$P$20</f>
        <v>0</v>
      </c>
      <c r="L91" s="319">
        <v>2</v>
      </c>
      <c r="M91" s="319">
        <f t="shared" ref="M91:M118" si="64">K91*L91</f>
        <v>0</v>
      </c>
      <c r="N91" s="321"/>
      <c r="O91" s="322">
        <f t="shared" ref="O91:O131" si="65">ROUNDUP(N91+M91,0)</f>
        <v>0</v>
      </c>
      <c r="P91" s="325"/>
    </row>
    <row r="92" spans="1:16" s="34" customFormat="1" ht="98.25" customHeight="1">
      <c r="A92" s="317">
        <v>1</v>
      </c>
      <c r="B92" s="548" t="s">
        <v>173</v>
      </c>
      <c r="C92" s="532"/>
      <c r="D92" s="532"/>
      <c r="E92" s="532"/>
      <c r="F92" s="537"/>
      <c r="G92" s="541"/>
      <c r="H92" s="533" t="str">
        <f t="shared" ref="H92" si="66">$D$23</f>
        <v>GREY HEATHER</v>
      </c>
      <c r="I92" s="534" t="str">
        <f t="shared" si="62"/>
        <v>BLACK</v>
      </c>
      <c r="J92" s="319" t="s">
        <v>87</v>
      </c>
      <c r="K92" s="319">
        <f t="shared" ref="K92:K124" si="67">$P$25</f>
        <v>769</v>
      </c>
      <c r="L92" s="319">
        <v>2</v>
      </c>
      <c r="M92" s="319">
        <f t="shared" si="64"/>
        <v>1538</v>
      </c>
      <c r="N92" s="321"/>
      <c r="O92" s="322">
        <f t="shared" si="65"/>
        <v>1538</v>
      </c>
      <c r="P92" s="325" t="s">
        <v>175</v>
      </c>
    </row>
    <row r="93" spans="1:16" s="34" customFormat="1" ht="33" hidden="1">
      <c r="A93" s="317">
        <v>1</v>
      </c>
      <c r="B93" s="548" t="s">
        <v>173</v>
      </c>
      <c r="C93" s="532"/>
      <c r="D93" s="532"/>
      <c r="E93" s="532"/>
      <c r="F93" s="537"/>
      <c r="G93" s="541"/>
      <c r="H93" s="533" t="str">
        <f t="shared" ref="H93" si="68">$D$28</f>
        <v>WASHED BURGUNDY</v>
      </c>
      <c r="I93" s="534" t="str">
        <f t="shared" si="62"/>
        <v>BLACK</v>
      </c>
      <c r="J93" s="319" t="s">
        <v>87</v>
      </c>
      <c r="K93" s="319">
        <f t="shared" ref="K93" si="69">$P$30</f>
        <v>0</v>
      </c>
      <c r="L93" s="319">
        <v>2</v>
      </c>
      <c r="M93" s="319">
        <f t="shared" si="64"/>
        <v>0</v>
      </c>
      <c r="N93" s="321"/>
      <c r="O93" s="322">
        <f t="shared" si="65"/>
        <v>0</v>
      </c>
      <c r="P93" s="325"/>
    </row>
    <row r="94" spans="1:16" s="34" customFormat="1" ht="33" hidden="1">
      <c r="A94" s="317">
        <v>1</v>
      </c>
      <c r="B94" s="548" t="s">
        <v>173</v>
      </c>
      <c r="C94" s="532"/>
      <c r="D94" s="532"/>
      <c r="E94" s="532"/>
      <c r="F94" s="538"/>
      <c r="G94" s="542"/>
      <c r="H94" s="533" t="str">
        <f t="shared" ref="H94" si="70">$D$33</f>
        <v>LIME</v>
      </c>
      <c r="I94" s="534" t="str">
        <f t="shared" si="62"/>
        <v>BLACK</v>
      </c>
      <c r="J94" s="319" t="s">
        <v>87</v>
      </c>
      <c r="K94" s="319">
        <f t="shared" ref="K94" si="71">$P$35</f>
        <v>0</v>
      </c>
      <c r="L94" s="319">
        <v>2</v>
      </c>
      <c r="M94" s="319">
        <f t="shared" si="64"/>
        <v>0</v>
      </c>
      <c r="N94" s="321"/>
      <c r="O94" s="322">
        <f t="shared" si="65"/>
        <v>0</v>
      </c>
      <c r="P94" s="325"/>
    </row>
    <row r="95" spans="1:16" s="34" customFormat="1" ht="33" hidden="1">
      <c r="A95" s="317">
        <v>2</v>
      </c>
      <c r="B95" s="549" t="s">
        <v>176</v>
      </c>
      <c r="C95" s="550"/>
      <c r="D95" s="550"/>
      <c r="E95" s="551"/>
      <c r="F95" s="535" t="s">
        <v>168</v>
      </c>
      <c r="G95" s="539" t="s">
        <v>174</v>
      </c>
      <c r="H95" s="533" t="str">
        <f t="shared" ref="H95:H123" si="72">$D$18</f>
        <v>BLACK</v>
      </c>
      <c r="I95" s="534" t="str">
        <f t="shared" si="62"/>
        <v>BLACK</v>
      </c>
      <c r="J95" s="319" t="s">
        <v>87</v>
      </c>
      <c r="K95" s="319">
        <f t="shared" si="63"/>
        <v>0</v>
      </c>
      <c r="L95" s="326">
        <f>L107*2</f>
        <v>0.08</v>
      </c>
      <c r="M95" s="319">
        <f t="shared" si="64"/>
        <v>0</v>
      </c>
      <c r="N95" s="321"/>
      <c r="O95" s="322">
        <f t="shared" si="65"/>
        <v>0</v>
      </c>
      <c r="P95" s="325"/>
    </row>
    <row r="96" spans="1:16" s="34" customFormat="1" ht="98.25" customHeight="1">
      <c r="A96" s="317">
        <v>2</v>
      </c>
      <c r="B96" s="549" t="s">
        <v>176</v>
      </c>
      <c r="C96" s="550"/>
      <c r="D96" s="550"/>
      <c r="E96" s="551"/>
      <c r="F96" s="537"/>
      <c r="G96" s="541"/>
      <c r="H96" s="533" t="str">
        <f t="shared" ref="H96:H124" si="73">$D$23</f>
        <v>GREY HEATHER</v>
      </c>
      <c r="I96" s="534" t="str">
        <f t="shared" si="62"/>
        <v>BLACK</v>
      </c>
      <c r="J96" s="319" t="s">
        <v>87</v>
      </c>
      <c r="K96" s="319">
        <f t="shared" si="67"/>
        <v>769</v>
      </c>
      <c r="L96" s="326">
        <f>L108*2</f>
        <v>0.08</v>
      </c>
      <c r="M96" s="319">
        <f t="shared" si="64"/>
        <v>61.52</v>
      </c>
      <c r="N96" s="321"/>
      <c r="O96" s="322">
        <f t="shared" si="65"/>
        <v>62</v>
      </c>
      <c r="P96" s="325" t="s">
        <v>175</v>
      </c>
    </row>
    <row r="97" spans="1:16" s="34" customFormat="1" ht="33" hidden="1">
      <c r="A97" s="317">
        <v>2</v>
      </c>
      <c r="B97" s="549" t="s">
        <v>176</v>
      </c>
      <c r="C97" s="550"/>
      <c r="D97" s="550"/>
      <c r="E97" s="551"/>
      <c r="F97" s="537"/>
      <c r="G97" s="541"/>
      <c r="H97" s="533" t="str">
        <f t="shared" ref="H97:H121" si="74">$D$28</f>
        <v>WASHED BURGUNDY</v>
      </c>
      <c r="I97" s="534" t="str">
        <f t="shared" si="62"/>
        <v>BLACK</v>
      </c>
      <c r="J97" s="319" t="s">
        <v>87</v>
      </c>
      <c r="K97" s="319">
        <f t="shared" ref="K97:K125" si="75">$P$30</f>
        <v>0</v>
      </c>
      <c r="L97" s="326">
        <f>L109*2</f>
        <v>0.08</v>
      </c>
      <c r="M97" s="319">
        <f t="shared" si="64"/>
        <v>0</v>
      </c>
      <c r="N97" s="321"/>
      <c r="O97" s="322">
        <f t="shared" si="65"/>
        <v>0</v>
      </c>
      <c r="P97" s="325"/>
    </row>
    <row r="98" spans="1:16" s="34" customFormat="1" ht="33" hidden="1">
      <c r="A98" s="317">
        <v>2</v>
      </c>
      <c r="B98" s="549" t="s">
        <v>176</v>
      </c>
      <c r="C98" s="550"/>
      <c r="D98" s="550"/>
      <c r="E98" s="551"/>
      <c r="F98" s="538"/>
      <c r="G98" s="542"/>
      <c r="H98" s="533" t="str">
        <f t="shared" ref="H98:H122" si="76">$D$33</f>
        <v>LIME</v>
      </c>
      <c r="I98" s="534" t="str">
        <f t="shared" si="62"/>
        <v>BLACK</v>
      </c>
      <c r="J98" s="319" t="s">
        <v>87</v>
      </c>
      <c r="K98" s="319">
        <f t="shared" ref="K98:K126" si="77">$P$35</f>
        <v>0</v>
      </c>
      <c r="L98" s="326">
        <f>L110*2</f>
        <v>0.08</v>
      </c>
      <c r="M98" s="319">
        <f t="shared" si="64"/>
        <v>0</v>
      </c>
      <c r="N98" s="321"/>
      <c r="O98" s="322">
        <f t="shared" si="65"/>
        <v>0</v>
      </c>
      <c r="P98" s="325"/>
    </row>
    <row r="99" spans="1:16" s="34" customFormat="1" ht="33" hidden="1">
      <c r="A99" s="317">
        <v>3</v>
      </c>
      <c r="B99" s="549" t="s">
        <v>177</v>
      </c>
      <c r="C99" s="550"/>
      <c r="D99" s="550"/>
      <c r="E99" s="551"/>
      <c r="F99" s="535" t="s">
        <v>178</v>
      </c>
      <c r="G99" s="539" t="s">
        <v>179</v>
      </c>
      <c r="H99" s="533" t="str">
        <f t="shared" si="72"/>
        <v>BLACK</v>
      </c>
      <c r="I99" s="534" t="str">
        <f t="shared" si="62"/>
        <v>BLACK</v>
      </c>
      <c r="J99" s="319" t="s">
        <v>87</v>
      </c>
      <c r="K99" s="319">
        <f t="shared" si="63"/>
        <v>0</v>
      </c>
      <c r="L99" s="319">
        <v>1</v>
      </c>
      <c r="M99" s="319">
        <f t="shared" si="64"/>
        <v>0</v>
      </c>
      <c r="N99" s="321"/>
      <c r="O99" s="322">
        <f t="shared" si="65"/>
        <v>0</v>
      </c>
      <c r="P99" s="325"/>
    </row>
    <row r="100" spans="1:16" s="34" customFormat="1" ht="98.25" customHeight="1">
      <c r="A100" s="317">
        <v>3</v>
      </c>
      <c r="B100" s="549" t="s">
        <v>177</v>
      </c>
      <c r="C100" s="550"/>
      <c r="D100" s="550"/>
      <c r="E100" s="551"/>
      <c r="F100" s="537"/>
      <c r="G100" s="541"/>
      <c r="H100" s="533" t="str">
        <f t="shared" si="73"/>
        <v>GREY HEATHER</v>
      </c>
      <c r="I100" s="534" t="str">
        <f t="shared" si="62"/>
        <v>BLACK</v>
      </c>
      <c r="J100" s="319" t="s">
        <v>87</v>
      </c>
      <c r="K100" s="319">
        <f t="shared" si="67"/>
        <v>769</v>
      </c>
      <c r="L100" s="319">
        <v>1</v>
      </c>
      <c r="M100" s="319">
        <f t="shared" si="64"/>
        <v>769</v>
      </c>
      <c r="N100" s="321"/>
      <c r="O100" s="322">
        <f t="shared" si="65"/>
        <v>769</v>
      </c>
      <c r="P100" s="325"/>
    </row>
    <row r="101" spans="1:16" s="34" customFormat="1" ht="33" hidden="1">
      <c r="A101" s="317">
        <v>3</v>
      </c>
      <c r="B101" s="549" t="s">
        <v>177</v>
      </c>
      <c r="C101" s="550"/>
      <c r="D101" s="550"/>
      <c r="E101" s="551"/>
      <c r="F101" s="537"/>
      <c r="G101" s="541"/>
      <c r="H101" s="533" t="str">
        <f t="shared" si="74"/>
        <v>WASHED BURGUNDY</v>
      </c>
      <c r="I101" s="534" t="str">
        <f t="shared" si="62"/>
        <v>BLACK</v>
      </c>
      <c r="J101" s="319" t="s">
        <v>87</v>
      </c>
      <c r="K101" s="319">
        <f t="shared" si="75"/>
        <v>0</v>
      </c>
      <c r="L101" s="319">
        <v>1</v>
      </c>
      <c r="M101" s="319">
        <f t="shared" si="64"/>
        <v>0</v>
      </c>
      <c r="N101" s="321"/>
      <c r="O101" s="322">
        <f t="shared" si="65"/>
        <v>0</v>
      </c>
      <c r="P101" s="325"/>
    </row>
    <row r="102" spans="1:16" s="34" customFormat="1" ht="33" hidden="1">
      <c r="A102" s="317">
        <v>3</v>
      </c>
      <c r="B102" s="549" t="s">
        <v>177</v>
      </c>
      <c r="C102" s="550"/>
      <c r="D102" s="550"/>
      <c r="E102" s="551"/>
      <c r="F102" s="538"/>
      <c r="G102" s="542"/>
      <c r="H102" s="533" t="str">
        <f t="shared" si="76"/>
        <v>LIME</v>
      </c>
      <c r="I102" s="534" t="str">
        <f t="shared" si="62"/>
        <v>BLACK</v>
      </c>
      <c r="J102" s="319" t="s">
        <v>87</v>
      </c>
      <c r="K102" s="319">
        <f t="shared" si="77"/>
        <v>0</v>
      </c>
      <c r="L102" s="319">
        <v>1</v>
      </c>
      <c r="M102" s="319">
        <f t="shared" si="64"/>
        <v>0</v>
      </c>
      <c r="N102" s="321"/>
      <c r="O102" s="322">
        <f t="shared" si="65"/>
        <v>0</v>
      </c>
      <c r="P102" s="325"/>
    </row>
    <row r="103" spans="1:16" s="34" customFormat="1" ht="33" hidden="1">
      <c r="A103" s="317">
        <v>4</v>
      </c>
      <c r="B103" s="549" t="s">
        <v>180</v>
      </c>
      <c r="C103" s="550"/>
      <c r="D103" s="550"/>
      <c r="E103" s="551"/>
      <c r="F103" s="288" t="s">
        <v>97</v>
      </c>
      <c r="G103" s="288"/>
      <c r="H103" s="533" t="str">
        <f t="shared" si="72"/>
        <v>BLACK</v>
      </c>
      <c r="I103" s="534" t="str">
        <f t="shared" si="62"/>
        <v>BLACK</v>
      </c>
      <c r="J103" s="319" t="s">
        <v>87</v>
      </c>
      <c r="K103" s="319">
        <f t="shared" si="63"/>
        <v>0</v>
      </c>
      <c r="L103" s="319">
        <v>1</v>
      </c>
      <c r="M103" s="319">
        <f t="shared" si="64"/>
        <v>0</v>
      </c>
      <c r="N103" s="321"/>
      <c r="O103" s="322">
        <f t="shared" si="65"/>
        <v>0</v>
      </c>
      <c r="P103" s="325"/>
    </row>
    <row r="104" spans="1:16" s="34" customFormat="1" ht="63.75" customHeight="1">
      <c r="A104" s="317">
        <v>4</v>
      </c>
      <c r="B104" s="549" t="s">
        <v>180</v>
      </c>
      <c r="C104" s="550"/>
      <c r="D104" s="550"/>
      <c r="E104" s="551"/>
      <c r="F104" s="288" t="s">
        <v>97</v>
      </c>
      <c r="G104" s="288"/>
      <c r="H104" s="533" t="str">
        <f t="shared" si="73"/>
        <v>GREY HEATHER</v>
      </c>
      <c r="I104" s="534" t="str">
        <f t="shared" si="62"/>
        <v>BLACK</v>
      </c>
      <c r="J104" s="319" t="s">
        <v>87</v>
      </c>
      <c r="K104" s="319">
        <f t="shared" si="67"/>
        <v>769</v>
      </c>
      <c r="L104" s="319">
        <v>1</v>
      </c>
      <c r="M104" s="319">
        <f t="shared" si="64"/>
        <v>769</v>
      </c>
      <c r="N104" s="321"/>
      <c r="O104" s="322">
        <f t="shared" si="65"/>
        <v>769</v>
      </c>
      <c r="P104" s="325"/>
    </row>
    <row r="105" spans="1:16" s="34" customFormat="1" ht="33" hidden="1">
      <c r="A105" s="317">
        <v>4</v>
      </c>
      <c r="B105" s="549" t="s">
        <v>180</v>
      </c>
      <c r="C105" s="550"/>
      <c r="D105" s="550"/>
      <c r="E105" s="551"/>
      <c r="F105" s="288" t="s">
        <v>97</v>
      </c>
      <c r="G105" s="288"/>
      <c r="H105" s="533" t="str">
        <f t="shared" si="74"/>
        <v>WASHED BURGUNDY</v>
      </c>
      <c r="I105" s="534" t="str">
        <f t="shared" si="62"/>
        <v>BLACK</v>
      </c>
      <c r="J105" s="319" t="s">
        <v>87</v>
      </c>
      <c r="K105" s="319">
        <f t="shared" si="75"/>
        <v>0</v>
      </c>
      <c r="L105" s="319">
        <v>1</v>
      </c>
      <c r="M105" s="319">
        <f t="shared" si="64"/>
        <v>0</v>
      </c>
      <c r="N105" s="321"/>
      <c r="O105" s="322">
        <f t="shared" si="65"/>
        <v>0</v>
      </c>
      <c r="P105" s="325"/>
    </row>
    <row r="106" spans="1:16" s="34" customFormat="1" ht="33" hidden="1">
      <c r="A106" s="317">
        <v>4</v>
      </c>
      <c r="B106" s="549" t="s">
        <v>180</v>
      </c>
      <c r="C106" s="550"/>
      <c r="D106" s="550"/>
      <c r="E106" s="551"/>
      <c r="F106" s="288" t="s">
        <v>97</v>
      </c>
      <c r="G106" s="288"/>
      <c r="H106" s="533" t="str">
        <f t="shared" si="76"/>
        <v>LIME</v>
      </c>
      <c r="I106" s="534" t="str">
        <f t="shared" si="62"/>
        <v>BLACK</v>
      </c>
      <c r="J106" s="319" t="s">
        <v>87</v>
      </c>
      <c r="K106" s="319">
        <f t="shared" si="77"/>
        <v>0</v>
      </c>
      <c r="L106" s="319">
        <v>1</v>
      </c>
      <c r="M106" s="319">
        <f t="shared" si="64"/>
        <v>0</v>
      </c>
      <c r="N106" s="321"/>
      <c r="O106" s="322">
        <f t="shared" si="65"/>
        <v>0</v>
      </c>
      <c r="P106" s="325"/>
    </row>
    <row r="107" spans="1:16" s="34" customFormat="1" ht="33" hidden="1">
      <c r="A107" s="317">
        <v>5</v>
      </c>
      <c r="B107" s="548" t="s">
        <v>181</v>
      </c>
      <c r="C107" s="532"/>
      <c r="D107" s="532"/>
      <c r="E107" s="532"/>
      <c r="F107" s="288" t="s">
        <v>85</v>
      </c>
      <c r="G107" s="288"/>
      <c r="H107" s="533" t="str">
        <f t="shared" si="72"/>
        <v>BLACK</v>
      </c>
      <c r="I107" s="534" t="str">
        <f t="shared" si="62"/>
        <v>BLACK</v>
      </c>
      <c r="J107" s="319" t="s">
        <v>87</v>
      </c>
      <c r="K107" s="319">
        <f t="shared" si="63"/>
        <v>0</v>
      </c>
      <c r="L107" s="326">
        <f>1/25</f>
        <v>0.04</v>
      </c>
      <c r="M107" s="319">
        <f t="shared" si="64"/>
        <v>0</v>
      </c>
      <c r="N107" s="321"/>
      <c r="O107" s="322">
        <f t="shared" si="65"/>
        <v>0</v>
      </c>
      <c r="P107" s="325"/>
    </row>
    <row r="108" spans="1:16" s="34" customFormat="1" ht="63.75" customHeight="1">
      <c r="A108" s="317">
        <v>5</v>
      </c>
      <c r="B108" s="548" t="s">
        <v>181</v>
      </c>
      <c r="C108" s="532"/>
      <c r="D108" s="532"/>
      <c r="E108" s="532"/>
      <c r="F108" s="288" t="s">
        <v>85</v>
      </c>
      <c r="G108" s="288"/>
      <c r="H108" s="533" t="str">
        <f t="shared" si="73"/>
        <v>GREY HEATHER</v>
      </c>
      <c r="I108" s="534" t="str">
        <f t="shared" si="62"/>
        <v>BLACK</v>
      </c>
      <c r="J108" s="319" t="s">
        <v>87</v>
      </c>
      <c r="K108" s="319">
        <f t="shared" si="67"/>
        <v>769</v>
      </c>
      <c r="L108" s="326">
        <f t="shared" ref="L108:L110" si="78">1/25</f>
        <v>0.04</v>
      </c>
      <c r="M108" s="319">
        <f t="shared" si="64"/>
        <v>30.76</v>
      </c>
      <c r="N108" s="321"/>
      <c r="O108" s="322">
        <f t="shared" si="65"/>
        <v>31</v>
      </c>
      <c r="P108" s="325"/>
    </row>
    <row r="109" spans="1:16" s="34" customFormat="1" ht="33" hidden="1">
      <c r="A109" s="317">
        <v>5</v>
      </c>
      <c r="B109" s="548" t="s">
        <v>181</v>
      </c>
      <c r="C109" s="532"/>
      <c r="D109" s="532"/>
      <c r="E109" s="532"/>
      <c r="F109" s="288" t="s">
        <v>85</v>
      </c>
      <c r="G109" s="288"/>
      <c r="H109" s="533" t="str">
        <f t="shared" si="74"/>
        <v>WASHED BURGUNDY</v>
      </c>
      <c r="I109" s="534" t="str">
        <f t="shared" si="62"/>
        <v>BLACK</v>
      </c>
      <c r="J109" s="319" t="s">
        <v>87</v>
      </c>
      <c r="K109" s="319">
        <f t="shared" si="75"/>
        <v>0</v>
      </c>
      <c r="L109" s="326">
        <f t="shared" si="78"/>
        <v>0.04</v>
      </c>
      <c r="M109" s="319">
        <f t="shared" si="64"/>
        <v>0</v>
      </c>
      <c r="N109" s="321"/>
      <c r="O109" s="322">
        <f t="shared" si="65"/>
        <v>0</v>
      </c>
      <c r="P109" s="325"/>
    </row>
    <row r="110" spans="1:16" s="34" customFormat="1" ht="33" hidden="1">
      <c r="A110" s="317">
        <v>5</v>
      </c>
      <c r="B110" s="548" t="s">
        <v>181</v>
      </c>
      <c r="C110" s="532"/>
      <c r="D110" s="532"/>
      <c r="E110" s="532"/>
      <c r="F110" s="288" t="s">
        <v>85</v>
      </c>
      <c r="G110" s="288"/>
      <c r="H110" s="533" t="str">
        <f t="shared" si="76"/>
        <v>LIME</v>
      </c>
      <c r="I110" s="534" t="str">
        <f t="shared" si="62"/>
        <v>BLACK</v>
      </c>
      <c r="J110" s="319" t="s">
        <v>87</v>
      </c>
      <c r="K110" s="319">
        <f t="shared" si="77"/>
        <v>0</v>
      </c>
      <c r="L110" s="326">
        <f t="shared" si="78"/>
        <v>0.04</v>
      </c>
      <c r="M110" s="319">
        <f t="shared" si="64"/>
        <v>0</v>
      </c>
      <c r="N110" s="321"/>
      <c r="O110" s="322">
        <f t="shared" si="65"/>
        <v>0</v>
      </c>
      <c r="P110" s="325"/>
    </row>
    <row r="111" spans="1:16" s="34" customFormat="1" ht="33" hidden="1">
      <c r="A111" s="317">
        <v>6</v>
      </c>
      <c r="B111" s="548" t="s">
        <v>182</v>
      </c>
      <c r="C111" s="532"/>
      <c r="D111" s="532"/>
      <c r="E111" s="532"/>
      <c r="F111" s="288" t="s">
        <v>85</v>
      </c>
      <c r="G111" s="288"/>
      <c r="H111" s="533" t="str">
        <f t="shared" si="72"/>
        <v>BLACK</v>
      </c>
      <c r="I111" s="534" t="str">
        <f t="shared" si="62"/>
        <v>BLACK</v>
      </c>
      <c r="J111" s="319" t="s">
        <v>87</v>
      </c>
      <c r="K111" s="319">
        <f t="shared" si="63"/>
        <v>0</v>
      </c>
      <c r="L111" s="326">
        <f>L107*2</f>
        <v>0.08</v>
      </c>
      <c r="M111" s="319">
        <f t="shared" si="64"/>
        <v>0</v>
      </c>
      <c r="N111" s="321"/>
      <c r="O111" s="322">
        <f t="shared" si="65"/>
        <v>0</v>
      </c>
      <c r="P111" s="325"/>
    </row>
    <row r="112" spans="1:16" s="34" customFormat="1" ht="63.75" customHeight="1">
      <c r="A112" s="317">
        <v>6</v>
      </c>
      <c r="B112" s="548" t="s">
        <v>182</v>
      </c>
      <c r="C112" s="532"/>
      <c r="D112" s="532"/>
      <c r="E112" s="532"/>
      <c r="F112" s="288" t="s">
        <v>85</v>
      </c>
      <c r="G112" s="288"/>
      <c r="H112" s="533" t="str">
        <f t="shared" si="73"/>
        <v>GREY HEATHER</v>
      </c>
      <c r="I112" s="534" t="str">
        <f t="shared" si="62"/>
        <v>BLACK</v>
      </c>
      <c r="J112" s="319" t="s">
        <v>87</v>
      </c>
      <c r="K112" s="319">
        <f t="shared" si="67"/>
        <v>769</v>
      </c>
      <c r="L112" s="326">
        <f>L108*2</f>
        <v>0.08</v>
      </c>
      <c r="M112" s="319">
        <f t="shared" si="64"/>
        <v>61.52</v>
      </c>
      <c r="N112" s="321"/>
      <c r="O112" s="322">
        <f t="shared" si="65"/>
        <v>62</v>
      </c>
      <c r="P112" s="325"/>
    </row>
    <row r="113" spans="1:16" s="34" customFormat="1" ht="33" hidden="1">
      <c r="A113" s="317">
        <v>6</v>
      </c>
      <c r="B113" s="548" t="s">
        <v>182</v>
      </c>
      <c r="C113" s="532"/>
      <c r="D113" s="532"/>
      <c r="E113" s="532"/>
      <c r="F113" s="288" t="s">
        <v>85</v>
      </c>
      <c r="G113" s="288"/>
      <c r="H113" s="533" t="str">
        <f t="shared" si="74"/>
        <v>WASHED BURGUNDY</v>
      </c>
      <c r="I113" s="534" t="str">
        <f t="shared" si="62"/>
        <v>BLACK</v>
      </c>
      <c r="J113" s="319" t="s">
        <v>87</v>
      </c>
      <c r="K113" s="319">
        <f t="shared" si="75"/>
        <v>0</v>
      </c>
      <c r="L113" s="326">
        <f>L109*2</f>
        <v>0.08</v>
      </c>
      <c r="M113" s="319">
        <f t="shared" si="64"/>
        <v>0</v>
      </c>
      <c r="N113" s="321"/>
      <c r="O113" s="322">
        <f t="shared" si="65"/>
        <v>0</v>
      </c>
      <c r="P113" s="325"/>
    </row>
    <row r="114" spans="1:16" s="34" customFormat="1" ht="33" hidden="1">
      <c r="A114" s="317">
        <v>6</v>
      </c>
      <c r="B114" s="548" t="s">
        <v>182</v>
      </c>
      <c r="C114" s="532"/>
      <c r="D114" s="532"/>
      <c r="E114" s="532"/>
      <c r="F114" s="288" t="s">
        <v>85</v>
      </c>
      <c r="G114" s="288"/>
      <c r="H114" s="533" t="str">
        <f t="shared" si="76"/>
        <v>LIME</v>
      </c>
      <c r="I114" s="534" t="str">
        <f t="shared" si="62"/>
        <v>BLACK</v>
      </c>
      <c r="J114" s="319" t="s">
        <v>87</v>
      </c>
      <c r="K114" s="319">
        <f t="shared" si="77"/>
        <v>0</v>
      </c>
      <c r="L114" s="326">
        <f>L110*2</f>
        <v>0.08</v>
      </c>
      <c r="M114" s="319">
        <f t="shared" si="64"/>
        <v>0</v>
      </c>
      <c r="N114" s="321"/>
      <c r="O114" s="322">
        <f t="shared" si="65"/>
        <v>0</v>
      </c>
      <c r="P114" s="325"/>
    </row>
    <row r="115" spans="1:16" s="34" customFormat="1" ht="33" hidden="1">
      <c r="A115" s="317">
        <v>7</v>
      </c>
      <c r="B115" s="548" t="s">
        <v>183</v>
      </c>
      <c r="C115" s="532"/>
      <c r="D115" s="532"/>
      <c r="E115" s="532"/>
      <c r="F115" s="288" t="s">
        <v>97</v>
      </c>
      <c r="G115" s="288"/>
      <c r="H115" s="533" t="str">
        <f t="shared" si="72"/>
        <v>BLACK</v>
      </c>
      <c r="I115" s="534" t="str">
        <f t="shared" si="62"/>
        <v>BLACK</v>
      </c>
      <c r="J115" s="319" t="s">
        <v>87</v>
      </c>
      <c r="K115" s="319">
        <f t="shared" si="63"/>
        <v>0</v>
      </c>
      <c r="L115" s="326">
        <f>L107</f>
        <v>0.04</v>
      </c>
      <c r="M115" s="319">
        <f t="shared" si="64"/>
        <v>0</v>
      </c>
      <c r="N115" s="321"/>
      <c r="O115" s="322">
        <f t="shared" si="65"/>
        <v>0</v>
      </c>
      <c r="P115" s="325"/>
    </row>
    <row r="116" spans="1:16" s="34" customFormat="1" ht="63.75" customHeight="1">
      <c r="A116" s="317">
        <v>7</v>
      </c>
      <c r="B116" s="548" t="s">
        <v>183</v>
      </c>
      <c r="C116" s="532"/>
      <c r="D116" s="532"/>
      <c r="E116" s="532"/>
      <c r="F116" s="288" t="s">
        <v>97</v>
      </c>
      <c r="G116" s="288"/>
      <c r="H116" s="533" t="str">
        <f t="shared" si="73"/>
        <v>GREY HEATHER</v>
      </c>
      <c r="I116" s="534" t="str">
        <f t="shared" si="62"/>
        <v>BLACK</v>
      </c>
      <c r="J116" s="319" t="s">
        <v>87</v>
      </c>
      <c r="K116" s="319">
        <f t="shared" si="67"/>
        <v>769</v>
      </c>
      <c r="L116" s="326">
        <f>L108</f>
        <v>0.04</v>
      </c>
      <c r="M116" s="319">
        <f t="shared" si="64"/>
        <v>30.76</v>
      </c>
      <c r="N116" s="321"/>
      <c r="O116" s="322">
        <f t="shared" si="65"/>
        <v>31</v>
      </c>
      <c r="P116" s="325"/>
    </row>
    <row r="117" spans="1:16" s="34" customFormat="1" ht="33" hidden="1">
      <c r="A117" s="317">
        <v>7</v>
      </c>
      <c r="B117" s="548" t="s">
        <v>183</v>
      </c>
      <c r="C117" s="532"/>
      <c r="D117" s="532"/>
      <c r="E117" s="532"/>
      <c r="F117" s="288" t="s">
        <v>97</v>
      </c>
      <c r="G117" s="288"/>
      <c r="H117" s="533" t="str">
        <f t="shared" si="74"/>
        <v>WASHED BURGUNDY</v>
      </c>
      <c r="I117" s="534" t="str">
        <f t="shared" si="62"/>
        <v>BLACK</v>
      </c>
      <c r="J117" s="319" t="s">
        <v>87</v>
      </c>
      <c r="K117" s="319">
        <f t="shared" si="75"/>
        <v>0</v>
      </c>
      <c r="L117" s="326">
        <f>L109</f>
        <v>0.04</v>
      </c>
      <c r="M117" s="319">
        <f t="shared" si="64"/>
        <v>0</v>
      </c>
      <c r="N117" s="321"/>
      <c r="O117" s="322">
        <f t="shared" si="65"/>
        <v>0</v>
      </c>
      <c r="P117" s="325"/>
    </row>
    <row r="118" spans="1:16" s="34" customFormat="1" ht="33" hidden="1">
      <c r="A118" s="317">
        <v>7</v>
      </c>
      <c r="B118" s="548" t="s">
        <v>183</v>
      </c>
      <c r="C118" s="532"/>
      <c r="D118" s="532"/>
      <c r="E118" s="532"/>
      <c r="F118" s="288" t="s">
        <v>97</v>
      </c>
      <c r="G118" s="288"/>
      <c r="H118" s="533" t="str">
        <f t="shared" si="76"/>
        <v>LIME</v>
      </c>
      <c r="I118" s="534" t="str">
        <f t="shared" si="62"/>
        <v>BLACK</v>
      </c>
      <c r="J118" s="319" t="s">
        <v>87</v>
      </c>
      <c r="K118" s="319">
        <f t="shared" si="77"/>
        <v>0</v>
      </c>
      <c r="L118" s="326">
        <f>L110</f>
        <v>0.04</v>
      </c>
      <c r="M118" s="319">
        <f t="shared" si="64"/>
        <v>0</v>
      </c>
      <c r="N118" s="321"/>
      <c r="O118" s="322">
        <f t="shared" si="65"/>
        <v>0</v>
      </c>
      <c r="P118" s="325"/>
    </row>
    <row r="119" spans="1:16" s="34" customFormat="1" ht="33" hidden="1">
      <c r="A119" s="317">
        <v>8</v>
      </c>
      <c r="B119" s="549" t="s">
        <v>184</v>
      </c>
      <c r="C119" s="550"/>
      <c r="D119" s="550"/>
      <c r="E119" s="551"/>
      <c r="F119" s="288" t="s">
        <v>89</v>
      </c>
      <c r="G119" s="288"/>
      <c r="H119" s="533" t="str">
        <f t="shared" si="72"/>
        <v>BLACK</v>
      </c>
      <c r="I119" s="534" t="str">
        <f t="shared" si="62"/>
        <v>BLACK</v>
      </c>
      <c r="J119" s="319" t="s">
        <v>87</v>
      </c>
      <c r="K119" s="319">
        <f t="shared" si="63"/>
        <v>0</v>
      </c>
      <c r="L119" s="319">
        <v>1</v>
      </c>
      <c r="M119" s="319">
        <f>K119*L119</f>
        <v>0</v>
      </c>
      <c r="N119" s="321"/>
      <c r="O119" s="322">
        <f t="shared" si="65"/>
        <v>0</v>
      </c>
      <c r="P119" s="325"/>
    </row>
    <row r="120" spans="1:16" s="34" customFormat="1" ht="63.75" customHeight="1">
      <c r="A120" s="317">
        <v>8</v>
      </c>
      <c r="B120" s="548" t="s">
        <v>184</v>
      </c>
      <c r="C120" s="532"/>
      <c r="D120" s="532"/>
      <c r="E120" s="532"/>
      <c r="F120" s="288" t="s">
        <v>89</v>
      </c>
      <c r="G120" s="288"/>
      <c r="H120" s="533" t="str">
        <f t="shared" si="73"/>
        <v>GREY HEATHER</v>
      </c>
      <c r="I120" s="534" t="str">
        <f t="shared" si="62"/>
        <v>BLACK</v>
      </c>
      <c r="J120" s="319" t="s">
        <v>87</v>
      </c>
      <c r="K120" s="319">
        <f t="shared" si="67"/>
        <v>769</v>
      </c>
      <c r="L120" s="319">
        <v>1</v>
      </c>
      <c r="M120" s="319">
        <f t="shared" ref="M120:M131" si="79">K120*L120</f>
        <v>769</v>
      </c>
      <c r="N120" s="321"/>
      <c r="O120" s="322">
        <f t="shared" si="65"/>
        <v>769</v>
      </c>
      <c r="P120" s="325"/>
    </row>
    <row r="121" spans="1:16" s="34" customFormat="1" ht="33" hidden="1">
      <c r="A121" s="317">
        <v>8</v>
      </c>
      <c r="B121" s="548" t="s">
        <v>184</v>
      </c>
      <c r="C121" s="532"/>
      <c r="D121" s="532"/>
      <c r="E121" s="532"/>
      <c r="F121" s="288" t="s">
        <v>89</v>
      </c>
      <c r="G121" s="288"/>
      <c r="H121" s="533" t="str">
        <f t="shared" si="74"/>
        <v>WASHED BURGUNDY</v>
      </c>
      <c r="I121" s="534" t="str">
        <f t="shared" si="62"/>
        <v>BLACK</v>
      </c>
      <c r="J121" s="319" t="s">
        <v>87</v>
      </c>
      <c r="K121" s="319">
        <f t="shared" si="75"/>
        <v>0</v>
      </c>
      <c r="L121" s="319">
        <v>1</v>
      </c>
      <c r="M121" s="319">
        <f t="shared" si="79"/>
        <v>0</v>
      </c>
      <c r="N121" s="321"/>
      <c r="O121" s="322">
        <f t="shared" si="65"/>
        <v>0</v>
      </c>
      <c r="P121" s="325"/>
    </row>
    <row r="122" spans="1:16" s="34" customFormat="1" ht="33" hidden="1">
      <c r="A122" s="317">
        <v>8</v>
      </c>
      <c r="B122" s="548" t="s">
        <v>184</v>
      </c>
      <c r="C122" s="532"/>
      <c r="D122" s="532"/>
      <c r="E122" s="532"/>
      <c r="F122" s="288" t="s">
        <v>89</v>
      </c>
      <c r="G122" s="288"/>
      <c r="H122" s="533" t="str">
        <f t="shared" si="76"/>
        <v>LIME</v>
      </c>
      <c r="I122" s="534" t="str">
        <f t="shared" si="62"/>
        <v>BLACK</v>
      </c>
      <c r="J122" s="319" t="s">
        <v>87</v>
      </c>
      <c r="K122" s="319">
        <f t="shared" si="77"/>
        <v>0</v>
      </c>
      <c r="L122" s="319">
        <v>1</v>
      </c>
      <c r="M122" s="319">
        <f t="shared" si="79"/>
        <v>0</v>
      </c>
      <c r="N122" s="321"/>
      <c r="O122" s="322">
        <f t="shared" si="65"/>
        <v>0</v>
      </c>
      <c r="P122" s="325"/>
    </row>
    <row r="123" spans="1:16" s="34" customFormat="1" ht="33" hidden="1">
      <c r="A123" s="317">
        <v>9</v>
      </c>
      <c r="B123" s="548" t="s">
        <v>185</v>
      </c>
      <c r="C123" s="532"/>
      <c r="D123" s="532"/>
      <c r="E123" s="532"/>
      <c r="F123" s="288" t="s">
        <v>97</v>
      </c>
      <c r="G123" s="288"/>
      <c r="H123" s="533" t="str">
        <f t="shared" si="72"/>
        <v>BLACK</v>
      </c>
      <c r="I123" s="534" t="str">
        <f t="shared" si="62"/>
        <v>BLACK</v>
      </c>
      <c r="J123" s="319" t="s">
        <v>87</v>
      </c>
      <c r="K123" s="319">
        <f t="shared" si="63"/>
        <v>0</v>
      </c>
      <c r="L123" s="319">
        <v>1.1000000000000001</v>
      </c>
      <c r="M123" s="319">
        <f t="shared" si="79"/>
        <v>0</v>
      </c>
      <c r="N123" s="321"/>
      <c r="O123" s="322">
        <f t="shared" si="65"/>
        <v>0</v>
      </c>
      <c r="P123" s="325"/>
    </row>
    <row r="124" spans="1:16" s="34" customFormat="1" ht="63.75" customHeight="1">
      <c r="A124" s="317">
        <v>9</v>
      </c>
      <c r="B124" s="549" t="s">
        <v>185</v>
      </c>
      <c r="C124" s="550"/>
      <c r="D124" s="550"/>
      <c r="E124" s="551"/>
      <c r="F124" s="288" t="s">
        <v>97</v>
      </c>
      <c r="G124" s="288"/>
      <c r="H124" s="533" t="str">
        <f t="shared" si="73"/>
        <v>GREY HEATHER</v>
      </c>
      <c r="I124" s="534" t="str">
        <f t="shared" si="62"/>
        <v>BLACK</v>
      </c>
      <c r="J124" s="319" t="s">
        <v>87</v>
      </c>
      <c r="K124" s="319">
        <f t="shared" si="67"/>
        <v>769</v>
      </c>
      <c r="L124" s="319">
        <v>1.1000000000000001</v>
      </c>
      <c r="M124" s="319">
        <f t="shared" si="79"/>
        <v>845.90000000000009</v>
      </c>
      <c r="N124" s="321"/>
      <c r="O124" s="322">
        <f t="shared" si="65"/>
        <v>846</v>
      </c>
      <c r="P124" s="325"/>
    </row>
    <row r="125" spans="1:16" s="34" customFormat="1" ht="33" hidden="1">
      <c r="A125" s="317">
        <v>9</v>
      </c>
      <c r="B125" s="549" t="s">
        <v>185</v>
      </c>
      <c r="C125" s="550"/>
      <c r="D125" s="550"/>
      <c r="E125" s="551"/>
      <c r="F125" s="288" t="s">
        <v>97</v>
      </c>
      <c r="G125" s="288"/>
      <c r="H125" s="533" t="str">
        <f>$D$28</f>
        <v>WASHED BURGUNDY</v>
      </c>
      <c r="I125" s="534" t="str">
        <f t="shared" si="62"/>
        <v>BLACK</v>
      </c>
      <c r="J125" s="319" t="s">
        <v>87</v>
      </c>
      <c r="K125" s="319">
        <f t="shared" si="75"/>
        <v>0</v>
      </c>
      <c r="L125" s="319">
        <v>1.1000000000000001</v>
      </c>
      <c r="M125" s="319">
        <f t="shared" si="79"/>
        <v>0</v>
      </c>
      <c r="N125" s="321"/>
      <c r="O125" s="322">
        <f t="shared" si="65"/>
        <v>0</v>
      </c>
      <c r="P125" s="325"/>
    </row>
    <row r="126" spans="1:16" s="34" customFormat="1" ht="33" hidden="1">
      <c r="A126" s="317">
        <v>9</v>
      </c>
      <c r="B126" s="549" t="s">
        <v>185</v>
      </c>
      <c r="C126" s="550"/>
      <c r="D126" s="550"/>
      <c r="E126" s="551"/>
      <c r="F126" s="288" t="s">
        <v>97</v>
      </c>
      <c r="G126" s="288"/>
      <c r="H126" s="533" t="str">
        <f>$D$33</f>
        <v>LIME</v>
      </c>
      <c r="I126" s="534" t="str">
        <f t="shared" si="62"/>
        <v>BLACK</v>
      </c>
      <c r="J126" s="319" t="s">
        <v>87</v>
      </c>
      <c r="K126" s="319">
        <f t="shared" si="77"/>
        <v>0</v>
      </c>
      <c r="L126" s="319">
        <v>1.1000000000000001</v>
      </c>
      <c r="M126" s="319">
        <f t="shared" si="79"/>
        <v>0</v>
      </c>
      <c r="N126" s="321"/>
      <c r="O126" s="322">
        <f t="shared" si="65"/>
        <v>0</v>
      </c>
      <c r="P126" s="325"/>
    </row>
    <row r="127" spans="1:16" s="34" customFormat="1" ht="46.5" customHeight="1">
      <c r="A127" s="317">
        <v>10</v>
      </c>
      <c r="B127" s="548" t="s">
        <v>186</v>
      </c>
      <c r="C127" s="532"/>
      <c r="D127" s="532"/>
      <c r="E127" s="532"/>
      <c r="F127" s="552" t="s">
        <v>187</v>
      </c>
      <c r="G127" s="288"/>
      <c r="H127" s="553" t="s">
        <v>188</v>
      </c>
      <c r="I127" s="534"/>
      <c r="J127" s="319" t="s">
        <v>87</v>
      </c>
      <c r="K127" s="319">
        <v>9</v>
      </c>
      <c r="L127" s="326">
        <f>$L$107*2</f>
        <v>0.08</v>
      </c>
      <c r="M127" s="319">
        <f t="shared" si="79"/>
        <v>0.72</v>
      </c>
      <c r="N127" s="321"/>
      <c r="O127" s="322">
        <f t="shared" si="65"/>
        <v>1</v>
      </c>
      <c r="P127" s="325"/>
    </row>
    <row r="128" spans="1:16" s="34" customFormat="1" ht="46.5" customHeight="1">
      <c r="A128" s="317">
        <v>10</v>
      </c>
      <c r="B128" s="548" t="s">
        <v>186</v>
      </c>
      <c r="C128" s="532"/>
      <c r="D128" s="532"/>
      <c r="E128" s="532"/>
      <c r="F128" s="552"/>
      <c r="G128" s="288"/>
      <c r="H128" s="553" t="s">
        <v>189</v>
      </c>
      <c r="I128" s="534"/>
      <c r="J128" s="319" t="s">
        <v>87</v>
      </c>
      <c r="K128" s="319">
        <v>24</v>
      </c>
      <c r="L128" s="326">
        <f t="shared" ref="L128:L131" si="80">$L$107*2</f>
        <v>0.08</v>
      </c>
      <c r="M128" s="319">
        <f t="shared" si="79"/>
        <v>1.92</v>
      </c>
      <c r="N128" s="321"/>
      <c r="O128" s="322">
        <f t="shared" si="65"/>
        <v>2</v>
      </c>
      <c r="P128" s="325"/>
    </row>
    <row r="129" spans="1:16" s="34" customFormat="1" ht="46.5" customHeight="1">
      <c r="A129" s="317">
        <v>10</v>
      </c>
      <c r="B129" s="548" t="s">
        <v>186</v>
      </c>
      <c r="C129" s="532"/>
      <c r="D129" s="532"/>
      <c r="E129" s="532"/>
      <c r="F129" s="552"/>
      <c r="G129" s="288"/>
      <c r="H129" s="553" t="s">
        <v>190</v>
      </c>
      <c r="I129" s="534"/>
      <c r="J129" s="319" t="s">
        <v>87</v>
      </c>
      <c r="K129" s="319">
        <v>12</v>
      </c>
      <c r="L129" s="326">
        <f t="shared" si="80"/>
        <v>0.08</v>
      </c>
      <c r="M129" s="319">
        <f t="shared" si="79"/>
        <v>0.96</v>
      </c>
      <c r="N129" s="321"/>
      <c r="O129" s="322">
        <f t="shared" si="65"/>
        <v>1</v>
      </c>
      <c r="P129" s="325"/>
    </row>
    <row r="130" spans="1:16" s="34" customFormat="1" ht="46.5" customHeight="1">
      <c r="A130" s="317">
        <v>10</v>
      </c>
      <c r="B130" s="548" t="s">
        <v>186</v>
      </c>
      <c r="C130" s="532"/>
      <c r="D130" s="532"/>
      <c r="E130" s="532"/>
      <c r="F130" s="552"/>
      <c r="G130" s="288"/>
      <c r="H130" s="553">
        <v>41</v>
      </c>
      <c r="I130" s="534"/>
      <c r="J130" s="319" t="s">
        <v>87</v>
      </c>
      <c r="K130" s="319">
        <v>30</v>
      </c>
      <c r="L130" s="326">
        <f t="shared" si="80"/>
        <v>0.08</v>
      </c>
      <c r="M130" s="319">
        <f t="shared" si="79"/>
        <v>2.4</v>
      </c>
      <c r="N130" s="321"/>
      <c r="O130" s="322">
        <f t="shared" si="65"/>
        <v>3</v>
      </c>
      <c r="P130" s="325"/>
    </row>
    <row r="131" spans="1:16" s="34" customFormat="1" ht="46.5" customHeight="1">
      <c r="A131" s="317">
        <v>10</v>
      </c>
      <c r="B131" s="548" t="s">
        <v>186</v>
      </c>
      <c r="C131" s="532"/>
      <c r="D131" s="532"/>
      <c r="E131" s="532"/>
      <c r="F131" s="552"/>
      <c r="G131" s="288"/>
      <c r="H131" s="533">
        <v>42</v>
      </c>
      <c r="I131" s="534"/>
      <c r="J131" s="319" t="s">
        <v>87</v>
      </c>
      <c r="K131" s="319">
        <v>67</v>
      </c>
      <c r="L131" s="326">
        <f t="shared" si="80"/>
        <v>0.08</v>
      </c>
      <c r="M131" s="319">
        <f t="shared" si="79"/>
        <v>5.36</v>
      </c>
      <c r="N131" s="321"/>
      <c r="O131" s="322">
        <f t="shared" si="65"/>
        <v>6</v>
      </c>
      <c r="P131" s="325"/>
    </row>
    <row r="132" spans="1:16" s="15" customFormat="1" ht="33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98</v>
      </c>
      <c r="C133" s="88"/>
      <c r="D133" s="89"/>
      <c r="E133" s="89"/>
      <c r="F133" s="89"/>
      <c r="G133" s="90"/>
      <c r="H133" s="89"/>
      <c r="I133" s="89"/>
      <c r="J133" s="554" t="s">
        <v>99</v>
      </c>
      <c r="K133" s="554"/>
      <c r="L133" s="554"/>
      <c r="M133" s="554"/>
      <c r="N133" s="33"/>
      <c r="O133" s="33"/>
      <c r="P133" s="34"/>
    </row>
    <row r="134" spans="1:16" s="92" customFormat="1" ht="34.5" customHeight="1">
      <c r="A134" s="92">
        <v>1</v>
      </c>
      <c r="B134" s="94" t="s">
        <v>191</v>
      </c>
      <c r="C134" s="98" t="s">
        <v>192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555" t="s">
        <v>102</v>
      </c>
      <c r="C135" s="556"/>
      <c r="D135" s="556"/>
      <c r="E135" s="556"/>
      <c r="F135" s="556"/>
      <c r="G135" s="556"/>
      <c r="H135" s="556"/>
      <c r="I135" s="557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66</v>
      </c>
      <c r="C136" s="327" t="s">
        <v>193</v>
      </c>
      <c r="D136" s="558" t="s">
        <v>194</v>
      </c>
      <c r="E136" s="558"/>
      <c r="F136" s="558" t="s">
        <v>103</v>
      </c>
      <c r="G136" s="558"/>
      <c r="H136" s="558"/>
      <c r="I136" s="558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28" t="str">
        <f t="shared" ref="B137" si="81">$D$18</f>
        <v>BLACK</v>
      </c>
      <c r="C137" s="559" t="s">
        <v>195</v>
      </c>
      <c r="D137" s="561" t="s">
        <v>196</v>
      </c>
      <c r="E137" s="562"/>
      <c r="F137" s="563" t="s">
        <v>197</v>
      </c>
      <c r="G137" s="563"/>
      <c r="H137" s="563"/>
      <c r="I137" s="563"/>
      <c r="J137" s="35"/>
      <c r="K137" s="35"/>
      <c r="L137" s="35"/>
      <c r="M137" s="35"/>
      <c r="N137" s="35"/>
    </row>
    <row r="138" spans="1:16" s="15" customFormat="1" ht="66" hidden="1">
      <c r="A138" s="92"/>
      <c r="B138" s="328" t="str">
        <f t="shared" ref="B138" si="82">$D$23</f>
        <v>GREY HEATHER</v>
      </c>
      <c r="C138" s="560"/>
      <c r="D138" s="564" t="s">
        <v>198</v>
      </c>
      <c r="E138" s="565"/>
      <c r="F138" s="563" t="s">
        <v>199</v>
      </c>
      <c r="G138" s="563"/>
      <c r="H138" s="563"/>
      <c r="I138" s="563"/>
      <c r="J138" s="35"/>
      <c r="K138" s="35"/>
      <c r="L138" s="35"/>
      <c r="M138" s="35"/>
      <c r="N138" s="35"/>
    </row>
    <row r="139" spans="1:16" s="15" customFormat="1" ht="33" hidden="1"/>
    <row r="140" spans="1:16" s="15" customFormat="1" ht="33" hidden="1">
      <c r="A140" s="92"/>
      <c r="B140" s="555"/>
      <c r="C140" s="556"/>
      <c r="D140" s="570"/>
      <c r="E140" s="570"/>
      <c r="F140" s="570"/>
      <c r="G140" s="570"/>
      <c r="H140" s="570"/>
      <c r="I140" s="571"/>
      <c r="J140" s="35"/>
      <c r="K140" s="35"/>
    </row>
    <row r="141" spans="1:16" s="15" customFormat="1" ht="33" hidden="1">
      <c r="A141" s="92"/>
      <c r="B141" s="549"/>
      <c r="C141" s="551"/>
      <c r="D141" s="329" t="s">
        <v>35</v>
      </c>
      <c r="E141" s="329" t="s">
        <v>107</v>
      </c>
      <c r="F141" s="329" t="s">
        <v>59</v>
      </c>
      <c r="G141" s="329" t="s">
        <v>108</v>
      </c>
      <c r="H141" s="329" t="s">
        <v>109</v>
      </c>
      <c r="I141" s="329" t="s">
        <v>110</v>
      </c>
      <c r="J141" s="35"/>
    </row>
    <row r="142" spans="1:16" s="15" customFormat="1" ht="178.5" hidden="1" customHeight="1">
      <c r="A142" s="92"/>
      <c r="B142" s="445" t="s">
        <v>200</v>
      </c>
      <c r="C142" s="445"/>
      <c r="D142" s="204"/>
      <c r="E142" s="204">
        <v>2.2000000000000002</v>
      </c>
      <c r="F142" s="446">
        <v>3</v>
      </c>
      <c r="G142" s="447"/>
      <c r="H142" s="447"/>
      <c r="I142" s="448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3">
      <c r="A144" s="16">
        <v>2</v>
      </c>
      <c r="B144" s="94" t="s">
        <v>201</v>
      </c>
      <c r="C144" s="572" t="s">
        <v>202</v>
      </c>
      <c r="D144" s="572"/>
      <c r="E144" s="572"/>
      <c r="F144" s="572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3">
      <c r="A145" s="92"/>
      <c r="B145" s="555" t="s">
        <v>102</v>
      </c>
      <c r="C145" s="556"/>
      <c r="D145" s="556"/>
      <c r="E145" s="556"/>
      <c r="F145" s="556"/>
      <c r="G145" s="556"/>
      <c r="H145" s="556"/>
      <c r="I145" s="557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66</v>
      </c>
      <c r="C146" s="139" t="s">
        <v>203</v>
      </c>
      <c r="D146" s="139" t="s">
        <v>204</v>
      </c>
      <c r="E146" s="566" t="s">
        <v>122</v>
      </c>
      <c r="F146" s="567"/>
      <c r="G146" s="567"/>
      <c r="H146" s="567"/>
      <c r="I146" s="568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205</v>
      </c>
      <c r="D147" s="141" t="s">
        <v>206</v>
      </c>
      <c r="E147" s="564" t="s">
        <v>207</v>
      </c>
      <c r="F147" s="569"/>
      <c r="G147" s="569"/>
      <c r="H147" s="569"/>
      <c r="I147" s="565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205</v>
      </c>
      <c r="D148" s="141" t="s">
        <v>206</v>
      </c>
      <c r="E148" s="564" t="s">
        <v>208</v>
      </c>
      <c r="F148" s="569"/>
      <c r="G148" s="569"/>
      <c r="H148" s="569"/>
      <c r="I148" s="565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205</v>
      </c>
      <c r="D149" s="141" t="s">
        <v>206</v>
      </c>
      <c r="E149" s="564" t="s">
        <v>207</v>
      </c>
      <c r="F149" s="569"/>
      <c r="G149" s="569"/>
      <c r="H149" s="569"/>
      <c r="I149" s="565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205</v>
      </c>
      <c r="D150" s="141" t="s">
        <v>206</v>
      </c>
      <c r="E150" s="564" t="s">
        <v>207</v>
      </c>
      <c r="F150" s="569"/>
      <c r="G150" s="569"/>
      <c r="H150" s="569"/>
      <c r="I150" s="565"/>
      <c r="J150" s="35"/>
      <c r="K150" s="35"/>
      <c r="L150" s="35"/>
      <c r="M150" s="35"/>
      <c r="N150" s="35"/>
    </row>
    <row r="151" spans="1:16" s="15" customFormat="1" ht="33">
      <c r="A151" s="92"/>
      <c r="B151" s="555" t="s">
        <v>123</v>
      </c>
      <c r="C151" s="556"/>
      <c r="D151" s="570"/>
      <c r="E151" s="570"/>
      <c r="F151" s="570"/>
      <c r="G151" s="570"/>
      <c r="H151" s="570"/>
      <c r="I151" s="571"/>
      <c r="J151" s="35"/>
      <c r="K151" s="35"/>
    </row>
    <row r="152" spans="1:16" s="15" customFormat="1" ht="56.25" customHeight="1">
      <c r="A152" s="92"/>
      <c r="B152" s="549"/>
      <c r="C152" s="551"/>
      <c r="D152" s="329" t="s">
        <v>35</v>
      </c>
      <c r="E152" s="329" t="s">
        <v>107</v>
      </c>
      <c r="F152" s="329" t="s">
        <v>59</v>
      </c>
      <c r="G152" s="329" t="s">
        <v>108</v>
      </c>
      <c r="H152" s="329" t="s">
        <v>109</v>
      </c>
      <c r="I152" s="329" t="s">
        <v>110</v>
      </c>
      <c r="J152" s="35"/>
    </row>
    <row r="153" spans="1:16" s="15" customFormat="1" ht="111.75" customHeight="1">
      <c r="A153" s="92"/>
      <c r="B153" s="584" t="s">
        <v>209</v>
      </c>
      <c r="C153" s="585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84" t="s">
        <v>210</v>
      </c>
      <c r="C154" s="585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3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3">
      <c r="A156" s="16">
        <v>3</v>
      </c>
      <c r="B156" s="94" t="s">
        <v>211</v>
      </c>
      <c r="C156" s="18" t="s">
        <v>212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66</v>
      </c>
      <c r="C157" s="586" t="s">
        <v>213</v>
      </c>
      <c r="D157" s="587"/>
      <c r="E157" s="587"/>
      <c r="F157" s="587"/>
      <c r="G157" s="587"/>
      <c r="H157" s="587"/>
      <c r="I157" s="588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28" t="str">
        <f t="shared" ref="B158" si="83">$D$18</f>
        <v>BLACK</v>
      </c>
      <c r="C158" s="564" t="s">
        <v>214</v>
      </c>
      <c r="D158" s="569"/>
      <c r="E158" s="569"/>
      <c r="F158" s="569"/>
      <c r="G158" s="569"/>
      <c r="H158" s="569"/>
      <c r="I158" s="565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28" t="str">
        <f t="shared" ref="B159" si="84">$D$23</f>
        <v>GREY HEATHER</v>
      </c>
      <c r="C159" s="564" t="s">
        <v>215</v>
      </c>
      <c r="D159" s="569"/>
      <c r="E159" s="569"/>
      <c r="F159" s="569"/>
      <c r="G159" s="569"/>
      <c r="H159" s="569"/>
      <c r="I159" s="565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28" t="s">
        <v>216</v>
      </c>
      <c r="C160" s="573" t="s">
        <v>214</v>
      </c>
      <c r="D160" s="574"/>
      <c r="E160" s="574"/>
      <c r="F160" s="574"/>
      <c r="G160" s="574"/>
      <c r="H160" s="574"/>
      <c r="I160" s="575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28" t="s">
        <v>217</v>
      </c>
      <c r="C161" s="576"/>
      <c r="D161" s="577"/>
      <c r="E161" s="577"/>
      <c r="F161" s="577"/>
      <c r="G161" s="577"/>
      <c r="H161" s="577"/>
      <c r="I161" s="578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28" t="s">
        <v>149</v>
      </c>
      <c r="C162" s="579"/>
      <c r="D162" s="580"/>
      <c r="E162" s="580"/>
      <c r="F162" s="580"/>
      <c r="G162" s="580"/>
      <c r="H162" s="580"/>
      <c r="I162" s="581"/>
      <c r="J162" s="35"/>
      <c r="K162" s="35"/>
      <c r="L162" s="35"/>
      <c r="M162" s="35"/>
      <c r="N162" s="35"/>
    </row>
    <row r="163" spans="1:16" s="15" customFormat="1" ht="33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554" t="s">
        <v>127</v>
      </c>
      <c r="C164" s="554"/>
      <c r="D164" s="554"/>
      <c r="E164" s="554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33">
      <c r="A168" s="16"/>
      <c r="B168" s="330" t="s">
        <v>131</v>
      </c>
      <c r="C168" s="331" t="s">
        <v>107</v>
      </c>
      <c r="D168" s="331" t="s">
        <v>59</v>
      </c>
      <c r="E168" s="331" t="s">
        <v>108</v>
      </c>
      <c r="F168" s="331" t="s">
        <v>109</v>
      </c>
      <c r="G168" s="331" t="s">
        <v>110</v>
      </c>
      <c r="H168" s="331" t="s">
        <v>38</v>
      </c>
      <c r="L168" s="36"/>
      <c r="M168" s="37"/>
      <c r="N168" s="37"/>
      <c r="O168" s="36"/>
    </row>
    <row r="169" spans="1:16" s="18" customFormat="1" ht="50.1" customHeight="1">
      <c r="A169" s="16"/>
      <c r="B169" s="330" t="s">
        <v>132</v>
      </c>
      <c r="C169" s="322">
        <f>G42</f>
        <v>133</v>
      </c>
      <c r="D169" s="322">
        <f t="shared" ref="D169:G169" si="85">H42</f>
        <v>268</v>
      </c>
      <c r="E169" s="322">
        <f t="shared" si="85"/>
        <v>248</v>
      </c>
      <c r="F169" s="322">
        <f t="shared" si="85"/>
        <v>105</v>
      </c>
      <c r="G169" s="322">
        <f t="shared" si="85"/>
        <v>15</v>
      </c>
      <c r="H169" s="322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82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</row>
    <row r="171" spans="1:16" s="96" customFormat="1" ht="132.94999999999999" customHeight="1">
      <c r="G171" s="97"/>
    </row>
    <row r="172" spans="1:16" s="96" customFormat="1" ht="33">
      <c r="G172" s="97"/>
    </row>
    <row r="173" spans="1:16" s="96" customFormat="1" ht="33">
      <c r="G173" s="97"/>
    </row>
    <row r="174" spans="1:16" s="96" customFormat="1" ht="33">
      <c r="G174" s="97"/>
    </row>
    <row r="175" spans="1:16" s="96" customFormat="1" ht="33">
      <c r="G175" s="97"/>
    </row>
    <row r="176" spans="1:16" s="96" customFormat="1" ht="33">
      <c r="G176" s="97"/>
    </row>
    <row r="177" spans="7:7" s="96" customFormat="1" ht="33">
      <c r="G177" s="97"/>
    </row>
    <row r="178" spans="7:7" s="96" customFormat="1" ht="33">
      <c r="G178" s="97"/>
    </row>
    <row r="179" spans="7:7" s="96" customFormat="1" ht="33">
      <c r="G179" s="97"/>
    </row>
    <row r="180" spans="7:7" s="96" customFormat="1" ht="33">
      <c r="G180" s="97"/>
    </row>
    <row r="181" spans="7:7" s="96" customFormat="1" ht="33">
      <c r="G181" s="97"/>
    </row>
    <row r="182" spans="7:7" s="96" customFormat="1" ht="33">
      <c r="G182" s="97"/>
    </row>
    <row r="183" spans="7:7" s="96" customFormat="1" ht="33">
      <c r="G183" s="97"/>
    </row>
    <row r="184" spans="7:7" s="96" customFormat="1" ht="33">
      <c r="G184" s="97"/>
    </row>
    <row r="185" spans="7:7" s="96" customFormat="1" ht="33">
      <c r="G185" s="97"/>
    </row>
    <row r="186" spans="7:7" s="96" customFormat="1" ht="33">
      <c r="G186" s="97"/>
    </row>
    <row r="187" spans="7:7" s="96" customFormat="1" ht="33">
      <c r="G187" s="97"/>
    </row>
    <row r="188" spans="7:7" s="96" customFormat="1" ht="33">
      <c r="G188" s="97"/>
    </row>
    <row r="189" spans="7:7" s="96" customFormat="1" ht="33">
      <c r="G189" s="97"/>
    </row>
    <row r="190" spans="7:7" s="96" customFormat="1" ht="33">
      <c r="G190" s="97"/>
    </row>
    <row r="191" spans="7:7" s="96" customFormat="1" ht="33">
      <c r="G191" s="97"/>
    </row>
    <row r="192" spans="7:7" s="96" customFormat="1" ht="33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4"/>
  <sheetViews>
    <sheetView view="pageBreakPreview" topLeftCell="A16" zoomScale="25" zoomScaleNormal="40" zoomScaleSheetLayoutView="25" zoomScalePageLayoutView="25" workbookViewId="0">
      <selection activeCell="C23" sqref="C23"/>
    </sheetView>
  </sheetViews>
  <sheetFormatPr defaultColWidth="9.140625" defaultRowHeight="24"/>
  <cols>
    <col min="1" max="1" width="99.85546875" style="79" customWidth="1"/>
    <col min="2" max="2" width="219.7109375" style="80" customWidth="1"/>
    <col min="3" max="3" width="108.85546875" style="80" customWidth="1"/>
    <col min="4" max="16384" width="9.14062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IB7570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EAFC FOUNDER’S KIT</v>
      </c>
    </row>
    <row r="5" spans="1:9" s="74" customFormat="1" ht="75.95" customHeight="1">
      <c r="A5" s="179"/>
      <c r="B5" s="142" t="str">
        <f>'1. CUTTING DOCKET'!$D$20</f>
        <v>BLACK</v>
      </c>
    </row>
    <row r="6" spans="1:9" s="77" customFormat="1" ht="69.75" customHeight="1">
      <c r="A6" s="144" t="s">
        <v>218</v>
      </c>
      <c r="B6" s="144" t="str">
        <f>'1. CUTTING DOCKET'!$E$27</f>
        <v>BLACK</v>
      </c>
    </row>
    <row r="7" spans="1:9" s="77" customFormat="1" ht="75" customHeight="1">
      <c r="A7" s="332" t="s">
        <v>219</v>
      </c>
      <c r="B7" s="144" t="str">
        <f>'1. CUTTING DOCKET'!M11</f>
        <v>HEAVY JERSEY 330GSM</v>
      </c>
    </row>
    <row r="8" spans="1:9" s="77" customFormat="1" ht="349.5" customHeight="1">
      <c r="A8" s="265" t="str">
        <f>'1. CUTTING DOCKET'!D27</f>
        <v>VẢI CHÍNH + VIỀN CỔ</v>
      </c>
      <c r="B8" s="263"/>
      <c r="I8" s="78"/>
    </row>
    <row r="9" spans="1:9" s="77" customFormat="1" ht="154.5" customHeight="1">
      <c r="A9" s="144" t="str">
        <f>'1. CUTTING DOCKET'!B28</f>
        <v>RIB 1X1 95% COTTON 5%SP, CM 20'S/1 + 140'D, 400GSM_CẦM MÀU</v>
      </c>
      <c r="B9" s="144" t="str">
        <f>'1. CUTTING DOCKET'!$E$28</f>
        <v>BLACK</v>
      </c>
    </row>
    <row r="10" spans="1:9" s="77" customFormat="1" ht="343.5" customHeight="1">
      <c r="A10" s="266" t="str">
        <f>'1. CUTTING DOCKET'!D28</f>
        <v>CHÂN CỔ + LÁ CỔ</v>
      </c>
      <c r="B10" s="264"/>
      <c r="I10" s="78"/>
    </row>
    <row r="11" spans="1:9" s="77" customFormat="1" ht="79.5" customHeight="1">
      <c r="A11" s="144" t="str">
        <f>'1. CUTTING DOCKET'!B29</f>
        <v>MESH 140GSM</v>
      </c>
      <c r="B11" s="144" t="str">
        <f>'1. CUTTING DOCKET'!E29</f>
        <v>BLACK</v>
      </c>
    </row>
    <row r="12" spans="1:9" s="77" customFormat="1" ht="343.5" customHeight="1">
      <c r="A12" s="266" t="str">
        <f>'1. CUTTING DOCKET'!D29</f>
        <v>VẢI PHỐI</v>
      </c>
      <c r="B12" s="264"/>
      <c r="I12" s="78"/>
    </row>
    <row r="13" spans="1:9" s="77" customFormat="1" ht="74.25" customHeight="1">
      <c r="A13" s="144" t="s">
        <v>220</v>
      </c>
      <c r="B13" s="148" t="str">
        <f>'1. CUTTING DOCKET'!$F$33</f>
        <v>BLACK</v>
      </c>
    </row>
    <row r="14" spans="1:9" s="77" customFormat="1" ht="160.5" customHeight="1">
      <c r="A14" s="145" t="s">
        <v>73</v>
      </c>
      <c r="B14" s="143"/>
    </row>
    <row r="15" spans="1:9" s="77" customFormat="1" ht="90" customHeight="1">
      <c r="A15" s="144" t="str">
        <f>'1. CUTTING DOCKET'!B34</f>
        <v>NHÃN CHÍNH</v>
      </c>
      <c r="B15" s="148" t="str">
        <f>'1. CUTTING DOCKET'!F34</f>
        <v>BLACK/
WHITE</v>
      </c>
    </row>
    <row r="16" spans="1:9" s="77" customFormat="1" ht="397.5" customHeight="1">
      <c r="A16" s="149" t="s">
        <v>437</v>
      </c>
      <c r="B16" s="364" t="s">
        <v>438</v>
      </c>
    </row>
    <row r="17" spans="1:2" s="77" customFormat="1" ht="90" customHeight="1">
      <c r="A17" s="144" t="str">
        <f>'1. CUTTING DOCKET'!B35</f>
        <v>NHÃN THÀNH PHẦN</v>
      </c>
      <c r="B17" s="148" t="str">
        <f>'1. CUTTING DOCKET'!F35</f>
        <v>BLACK/
WHITE</v>
      </c>
    </row>
    <row r="18" spans="1:2" s="77" customFormat="1" ht="352.5" customHeight="1">
      <c r="A18" s="149" t="s">
        <v>439</v>
      </c>
      <c r="B18" s="364" t="s">
        <v>438</v>
      </c>
    </row>
    <row r="19" spans="1:2" s="77" customFormat="1" ht="90" customHeight="1">
      <c r="A19" s="144" t="s">
        <v>331</v>
      </c>
      <c r="B19" s="148" t="str">
        <f>'1. CUTTING DOCKET'!F36</f>
        <v>REFLECTIVE</v>
      </c>
    </row>
    <row r="20" spans="1:2" s="77" customFormat="1" ht="346.5" customHeight="1">
      <c r="A20" s="149" t="s">
        <v>333</v>
      </c>
      <c r="B20" s="364"/>
    </row>
    <row r="21" spans="1:2" s="77" customFormat="1" ht="90" customHeight="1">
      <c r="A21" s="144" t="str">
        <f>'1. CUTTING DOCKET'!B37</f>
        <v>THUN VIỀN 2CM</v>
      </c>
      <c r="B21" s="148" t="str">
        <f>'1. CUTTING DOCKET'!F37</f>
        <v>WHITE</v>
      </c>
    </row>
    <row r="22" spans="1:2" s="77" customFormat="1" ht="313.5" customHeight="1">
      <c r="A22" s="149" t="s">
        <v>426</v>
      </c>
      <c r="B22" s="364"/>
    </row>
    <row r="23" spans="1:2" s="77" customFormat="1" ht="90" customHeight="1">
      <c r="A23" s="144" t="str">
        <f>'1. CUTTING DOCKET'!B38</f>
        <v>NHÃN TRANG TRÍ TAM GIÁC</v>
      </c>
      <c r="B23" s="148" t="str">
        <f>'1. CUTTING DOCKET'!F38</f>
        <v>MULTI</v>
      </c>
    </row>
    <row r="24" spans="1:2" s="77" customFormat="1" ht="313.5" customHeight="1">
      <c r="A24" s="149" t="s">
        <v>442</v>
      </c>
      <c r="B24" s="364"/>
    </row>
  </sheetData>
  <printOptions horizontalCentered="1"/>
  <pageMargins left="0" right="0" top="0.75" bottom="0.75" header="0.3" footer="0.3"/>
  <pageSetup paperSize="9" scale="30" fitToWidth="0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CE3C0E-590F-4E3E-8794-7F15DF4E443E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8B02BE57-DF27-41EB-A459-BCCA8952F1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96F351-3BC5-4A0C-AB56-4A2E8DAB74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UA FULL SIZE 161024</vt:lpstr>
      <vt:lpstr>UA FULL SIZE 141024</vt:lpstr>
      <vt:lpstr>UA FULL SIZE 310824</vt:lpstr>
      <vt:lpstr>UA FULL SIZE 280824</vt:lpstr>
      <vt:lpstr>L=5,W=3</vt:lpstr>
      <vt:lpstr>UA FULL SIZE 120824</vt:lpstr>
      <vt:lpstr>1. CUTTING DOCKET</vt:lpstr>
      <vt:lpstr>GREY</vt:lpstr>
      <vt:lpstr>2. TRIM CARD</vt:lpstr>
      <vt:lpstr>THÔNG SỐ THEO MẪU 19-01-2024</vt:lpstr>
      <vt:lpstr>THUMBHOLE</vt:lpstr>
      <vt:lpstr>COLLAR</vt:lpstr>
      <vt:lpstr>SPEC</vt:lpstr>
      <vt:lpstr>1. CUTTING DOCKET (2)</vt:lpstr>
      <vt:lpstr>2. TRIM CARD (GREY)</vt:lpstr>
      <vt:lpstr>3. ĐỊNH VỊ HÌNH IN.THÊU</vt:lpstr>
      <vt:lpstr>4. THÔNG SỐ SẢN XUẤT</vt:lpstr>
      <vt:lpstr>'1. CUTTING DOCKET'!Print_Area</vt:lpstr>
      <vt:lpstr>'1. CUTTING DOCKET (2)'!Print_Area</vt:lpstr>
      <vt:lpstr>'2. TRIM CARD'!Print_Area</vt:lpstr>
      <vt:lpstr>'2. TRIM CARD (GREY)'!Print_Area</vt:lpstr>
      <vt:lpstr>GREY!Print_Area</vt:lpstr>
      <vt:lpstr>'L=5,W=3'!Print_Area</vt:lpstr>
      <vt:lpstr>'THÔNG SỐ THEO MẪU 19-01-2024'!Print_Area</vt:lpstr>
      <vt:lpstr>'UA FULL SIZE 120824'!Print_Area</vt:lpstr>
      <vt:lpstr>'UA FULL SIZE 141024'!Print_Area</vt:lpstr>
      <vt:lpstr>'UA FULL SIZE 161024'!Print_Area</vt:lpstr>
      <vt:lpstr>'UA FULL SIZE 280824'!Print_Area</vt:lpstr>
      <vt:lpstr>'UA FULL SIZE 310824'!Print_Area</vt:lpstr>
      <vt:lpstr>'1. CUTTING DOCKET'!Print_Titles</vt:lpstr>
      <vt:lpstr>'1. CUTTING DOCKET (2)'!Print_Titles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Long Dong Thanh</cp:lastModifiedBy>
  <cp:revision/>
  <cp:lastPrinted>2024-10-17T01:09:38Z</cp:lastPrinted>
  <dcterms:created xsi:type="dcterms:W3CDTF">2016-05-06T01:47:29Z</dcterms:created>
  <dcterms:modified xsi:type="dcterms:W3CDTF">2024-10-17T02:54:42Z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