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4-INTERNAL-PURCHASE-ORDER/4-2-TRIM-ORDER/TRIM-PO/DRAFT-PO/TRAIL PRINT/"/>
    </mc:Choice>
  </mc:AlternateContent>
  <xr:revisionPtr revIDLastSave="1241" documentId="13_ncr:1_{060FD0D6-5963-4740-8591-6C5A8FB05237}" xr6:coauthVersionLast="47" xr6:coauthVersionMax="47" xr10:uidLastSave="{C033916C-C179-402E-925B-95B7B91B5711}"/>
  <bookViews>
    <workbookView xWindow="-120" yWindow="-120" windowWidth="20730" windowHeight="1104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2'!$A$4:$P$8</definedName>
    <definedName name="_xlnm._FilterDatabase" localSheetId="0" hidden="1">PO!$A$10:$U$10</definedName>
    <definedName name="_xlnm.Print_Area" localSheetId="1">'DETAIL 2'!$A$1:$P$8</definedName>
    <definedName name="_xlnm.Print_Area" localSheetId="0">PO!$A$1:$N$16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" i="2" l="1"/>
  <c r="K5" i="5"/>
  <c r="O12" i="2"/>
  <c r="L12" i="2"/>
  <c r="K12" i="2"/>
  <c r="M12" i="2" s="1"/>
  <c r="K8" i="5" l="1"/>
  <c r="J8" i="5"/>
  <c r="I8" i="5"/>
  <c r="J6" i="5"/>
  <c r="J7" i="5"/>
  <c r="Q7" i="5" l="1"/>
  <c r="K7" i="5"/>
  <c r="A7" i="5"/>
  <c r="O11" i="2"/>
  <c r="K6" i="5"/>
  <c r="J5" i="5"/>
  <c r="Q6" i="5"/>
  <c r="A6" i="5"/>
  <c r="F10" i="5" l="1"/>
  <c r="I18" i="2" l="1"/>
  <c r="M18" i="2"/>
  <c r="Q5" i="5" l="1"/>
  <c r="L11" i="2" l="1"/>
  <c r="A5" i="5" l="1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<sst xmlns="http://schemas.openxmlformats.org/spreadsheetml/2006/main" count="89" uniqueCount="77">
  <si>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</si>
  <si>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</si>
  <si>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</si>
  <si>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</si>
  <si>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</si>
  <si>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</si>
  <si>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</si>
  <si>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</si>
  <si>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</si>
  <si>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</si>
  <si>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</si>
  <si>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</si>
  <si>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</si>
  <si>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</si>
  <si>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</si>
  <si>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</si>
  <si>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</si>
  <si>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</si>
  <si>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</si>
  <si>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</si>
  <si>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</si>
  <si>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</si>
  <si>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</si>
  <si>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</si>
  <si>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</si>
  <si>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</si>
  <si>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</si>
  <si>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</si>
  <si>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</si>
  <si>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</si>
  <si>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</si>
  <si>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</si>
  <si>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</si>
  <si>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</si>
  <si>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</si>
  <si>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</si>
  <si>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</si>
  <si>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</si>
  <si>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</si>
  <si>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</si>
  <si>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</si>
  <si>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</si>
  <si>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</si>
  <si>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</si>
  <si>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</si>
  <si>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</si>
  <si>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</si>
  <si>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</si>
  <si>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</si>
  <si>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</si>
  <si>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</si>
  <si>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</si>
  <si>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</si>
  <si>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</si>
  <si>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</si>
  <si>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PLM</t>
  </si>
  <si>
    <t>SKU</t>
  </si>
  <si>
    <t>CARE INSTRUCTIONS</t>
  </si>
  <si>
    <t>RAPHA WHT CARE LBL R</t>
  </si>
  <si>
    <t>SS TEE</t>
  </si>
  <si>
    <t>BASIC WHITE</t>
  </si>
  <si>
    <t>C0046-HOD069</t>
  </si>
  <si>
    <t>C0046-SST240</t>
  </si>
  <si>
    <t>C0046-LST027</t>
  </si>
  <si>
    <t>HOODIE</t>
  </si>
  <si>
    <t>LS TEE</t>
  </si>
  <si>
    <t>Men's Cotton Hoodie - Trail Print</t>
  </si>
  <si>
    <t>Men's Cotton T-Shirt - Trail Print</t>
  </si>
  <si>
    <t>Men's Cotton LS T-Shirt - Trail Print</t>
  </si>
  <si>
    <t>SS25M50002TEE</t>
  </si>
  <si>
    <t>SS25M50003TEE002</t>
  </si>
  <si>
    <t>SS25M50001TEE002</t>
  </si>
  <si>
    <t>BYC01XX</t>
  </si>
  <si>
    <t>BYE01XX</t>
  </si>
  <si>
    <t>RAPHA BLK CARE LBL R</t>
  </si>
  <si>
    <t>BASIC BLACK</t>
  </si>
  <si>
    <t>SS25 - TRAIL PRINT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</si>
</sst>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4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7" fillId="0" borderId="1" xfId="11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38099</xdr:colOff>
      <xdr:row>4</xdr:row>
      <xdr:rowOff>495300</xdr:rowOff>
    </xdr:from>
    <xdr:ext cx="1438276" cy="2467039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92424" y="1524000"/>
          <a:ext cx="1438276" cy="2467039"/>
        </a:xfrm>
        <a:prstGeom prst="rect">
          <a:avLst/>
        </a:prstGeom>
      </xdr:spPr>
    </xdr:pic>
    <xdr:clientData/>
  </xdr:oneCellAnchor>
  <xdr:twoCellAnchor editAs="oneCell">
    <xdr:from>
      <xdr:col>11</xdr:col>
      <xdr:colOff>47625</xdr:colOff>
      <xdr:row>6</xdr:row>
      <xdr:rowOff>447675</xdr:rowOff>
    </xdr:from>
    <xdr:to>
      <xdr:col>13</xdr:col>
      <xdr:colOff>452438</xdr:colOff>
      <xdr:row>6</xdr:row>
      <xdr:rowOff>1181100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6047F53-13C7-6BC6-0E73-7D053658C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15900" y="3971925"/>
          <a:ext cx="3090863" cy="73342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5</xdr:row>
      <xdr:rowOff>238125</xdr:rowOff>
    </xdr:from>
    <xdr:to>
      <xdr:col>14</xdr:col>
      <xdr:colOff>173428</xdr:colOff>
      <xdr:row>5</xdr:row>
      <xdr:rowOff>971550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DB7265D-A931-A387-372A-9E5ACFAA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01625" y="2514600"/>
          <a:ext cx="3335728" cy="733425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4</xdr:row>
      <xdr:rowOff>276224</xdr:rowOff>
    </xdr:from>
    <xdr:to>
      <xdr:col>14</xdr:col>
      <xdr:colOff>29742</xdr:colOff>
      <xdr:row>4</xdr:row>
      <xdr:rowOff>1028699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12DC7EB-E0E4-57A1-8E69-F571C867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30200" y="1304924"/>
          <a:ext cx="3163467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tabSelected="1" view="pageBreakPreview" topLeftCell="A9" zoomScale="55" zoomScaleNormal="55" zoomScaleSheetLayoutView="55" zoomScalePageLayoutView="55" workbookViewId="0">
      <selection activeCell="H7" sqref="H7:I7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2" t="s">
        <v>38</v>
      </c>
      <c r="D5" s="112"/>
      <c r="E5" s="17"/>
      <c r="F5" s="114" t="s">
        <v>6</v>
      </c>
      <c r="G5" s="115"/>
      <c r="H5" s="122" t="s">
        <v>36</v>
      </c>
      <c r="I5" s="123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4" t="s">
        <v>9</v>
      </c>
      <c r="G6" s="115"/>
      <c r="H6" s="124" t="s">
        <v>76</v>
      </c>
      <c r="I6" s="125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3"/>
      <c r="C7" s="113"/>
      <c r="D7" s="25"/>
      <c r="E7" s="17"/>
      <c r="F7" s="114" t="s">
        <v>12</v>
      </c>
      <c r="G7" s="115"/>
      <c r="H7" s="116">
        <f>N5+20</f>
        <v>20</v>
      </c>
      <c r="I7" s="117"/>
      <c r="J7" s="18"/>
      <c r="K7" s="18"/>
      <c r="L7" s="19"/>
      <c r="M7" s="20" t="s">
        <v>13</v>
      </c>
      <c r="N7" s="26" t="s">
        <v>53</v>
      </c>
    </row>
    <row r="8" spans="1:19" ht="30.75" customHeight="1">
      <c r="A8" s="82" t="s">
        <v>14</v>
      </c>
      <c r="B8" s="121"/>
      <c r="C8" s="121"/>
      <c r="D8" s="27"/>
      <c r="E8" s="17"/>
      <c r="F8" s="114" t="s">
        <v>15</v>
      </c>
      <c r="G8" s="115"/>
      <c r="H8" s="116">
        <f>N5+30</f>
        <v>30</v>
      </c>
      <c r="I8" s="117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50</v>
      </c>
      <c r="B11" s="87"/>
      <c r="C11" s="87" t="s">
        <v>54</v>
      </c>
      <c r="D11" s="87" t="s">
        <v>51</v>
      </c>
      <c r="E11" s="87" t="s">
        <v>51</v>
      </c>
      <c r="F11" s="88" t="s">
        <v>52</v>
      </c>
      <c r="G11" s="89" t="s">
        <v>60</v>
      </c>
      <c r="H11" s="90" t="s">
        <v>35</v>
      </c>
      <c r="I11" s="92">
        <v>390</v>
      </c>
      <c r="J11" s="91">
        <v>0</v>
      </c>
      <c r="K11" s="91">
        <f t="shared" ref="K11" si="0">I11-J11</f>
        <v>390</v>
      </c>
      <c r="L11" s="104">
        <f>ROUNDUP((94.53/1000)*1.4,3)</f>
        <v>0.13300000000000001</v>
      </c>
      <c r="M11" s="105">
        <f t="shared" ref="M11" si="1">K11*L11</f>
        <v>51.870000000000005</v>
      </c>
      <c r="N11" s="85"/>
      <c r="O11" s="7">
        <f>1523</f>
        <v>1523</v>
      </c>
    </row>
    <row r="12" spans="1:19" ht="158.25" customHeight="1">
      <c r="A12" s="87" t="s">
        <v>50</v>
      </c>
      <c r="B12" s="87"/>
      <c r="C12" s="87" t="s">
        <v>54</v>
      </c>
      <c r="D12" s="87" t="s">
        <v>51</v>
      </c>
      <c r="E12" s="87" t="s">
        <v>51</v>
      </c>
      <c r="F12" s="88" t="s">
        <v>52</v>
      </c>
      <c r="G12" s="89" t="s">
        <v>75</v>
      </c>
      <c r="H12" s="90" t="s">
        <v>35</v>
      </c>
      <c r="I12" s="92">
        <v>225</v>
      </c>
      <c r="J12" s="91">
        <v>0</v>
      </c>
      <c r="K12" s="91">
        <f t="shared" ref="K12" si="2">I12-J12</f>
        <v>225</v>
      </c>
      <c r="L12" s="104">
        <f>ROUNDUP((94.53/1000)*1.4,3)</f>
        <v>0.13300000000000001</v>
      </c>
      <c r="M12" s="105">
        <f t="shared" ref="M12" si="3">K12*L12</f>
        <v>29.925000000000001</v>
      </c>
      <c r="N12" s="85"/>
      <c r="O12" s="7">
        <f>1523</f>
        <v>1523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6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615</v>
      </c>
      <c r="J14" s="52"/>
      <c r="K14" s="51">
        <f>SUM(K11:K13)</f>
        <v>615</v>
      </c>
      <c r="L14" s="53"/>
      <c r="M14" s="107">
        <f>SUM(M11:M11)</f>
        <v>51.870000000000005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9" t="s">
        <v>31</v>
      </c>
      <c r="B16" s="119"/>
      <c r="C16" s="60"/>
      <c r="D16" s="61"/>
      <c r="E16" s="120" t="s">
        <v>32</v>
      </c>
      <c r="F16" s="120"/>
      <c r="G16" s="120"/>
      <c r="H16" s="62"/>
      <c r="I16" s="63"/>
      <c r="J16" s="63"/>
      <c r="K16" s="63"/>
      <c r="L16" s="118" t="s">
        <v>33</v>
      </c>
      <c r="M16" s="118"/>
      <c r="N16" s="54"/>
    </row>
    <row r="17" spans="1:13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3" ht="21.75" customHeight="1">
      <c r="A18" s="70"/>
      <c r="B18" s="65"/>
      <c r="C18" s="66"/>
      <c r="D18" s="64"/>
      <c r="E18" s="64"/>
      <c r="F18" s="64"/>
      <c r="G18" s="67"/>
      <c r="H18" s="68"/>
      <c r="I18" s="68">
        <f>3119-3104</f>
        <v>15</v>
      </c>
      <c r="J18" s="68"/>
      <c r="M18" s="69">
        <f>1601+50+1468</f>
        <v>3119</v>
      </c>
    </row>
    <row r="19" spans="1:13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3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3" ht="21.75" customHeight="1"/>
    <row r="22" spans="1:13" ht="21.75" customHeight="1"/>
    <row r="23" spans="1:13" ht="21.75" customHeight="1"/>
    <row r="24" spans="1:13" ht="21.75" customHeight="1"/>
    <row r="25" spans="1:13" ht="21.75" customHeight="1"/>
    <row r="26" spans="1:13" ht="21.75" customHeight="1"/>
    <row r="27" spans="1:13" ht="21.75" customHeight="1"/>
    <row r="28" spans="1:13" ht="21.75" customHeight="1"/>
    <row r="29" spans="1:13" ht="21.75" customHeight="1"/>
    <row r="30" spans="1:13" ht="21.75" customHeight="1"/>
    <row r="31" spans="1:13" ht="21.75" customHeight="1"/>
    <row r="32" spans="1:13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F8:G8"/>
    <mergeCell ref="H8:I8"/>
    <mergeCell ref="H6:I6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Q10"/>
  <sheetViews>
    <sheetView view="pageBreakPreview" topLeftCell="D4" zoomScaleNormal="115" zoomScaleSheetLayoutView="100" workbookViewId="0">
      <selection activeCell="K6" sqref="K6:K7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7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55</v>
      </c>
      <c r="F4" s="93" t="s">
        <v>23</v>
      </c>
      <c r="G4" s="93" t="s">
        <v>56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57</v>
      </c>
      <c r="M4" s="132" t="s">
        <v>47</v>
      </c>
      <c r="N4" s="133"/>
      <c r="O4" s="133"/>
      <c r="P4" s="134"/>
    </row>
    <row r="5" spans="1:17" s="99" customFormat="1" ht="98.25" customHeight="1">
      <c r="A5" s="95">
        <f t="shared" ref="A5:A7" si="0">ROW()-4</f>
        <v>1</v>
      </c>
      <c r="B5" s="96" t="s">
        <v>61</v>
      </c>
      <c r="C5" s="96" t="s">
        <v>64</v>
      </c>
      <c r="D5" s="108" t="s">
        <v>66</v>
      </c>
      <c r="E5" s="109" t="s">
        <v>70</v>
      </c>
      <c r="F5" s="97" t="s">
        <v>74</v>
      </c>
      <c r="G5" s="97" t="s">
        <v>72</v>
      </c>
      <c r="H5" s="98" t="s">
        <v>49</v>
      </c>
      <c r="I5" s="95">
        <v>202</v>
      </c>
      <c r="J5" s="95">
        <f>ROUNDUP(I5*7%,0)</f>
        <v>15</v>
      </c>
      <c r="K5" s="95">
        <f>I5+J5+8</f>
        <v>225</v>
      </c>
      <c r="L5" s="111"/>
      <c r="M5" s="135"/>
      <c r="N5" s="136"/>
      <c r="O5" s="136"/>
      <c r="P5" s="137"/>
      <c r="Q5" s="99">
        <f>995-944</f>
        <v>51</v>
      </c>
    </row>
    <row r="6" spans="1:17" s="99" customFormat="1" ht="98.25" customHeight="1">
      <c r="A6" s="95">
        <f t="shared" si="0"/>
        <v>2</v>
      </c>
      <c r="B6" s="96" t="s">
        <v>62</v>
      </c>
      <c r="C6" s="96" t="s">
        <v>59</v>
      </c>
      <c r="D6" s="108" t="s">
        <v>67</v>
      </c>
      <c r="E6" s="109" t="s">
        <v>71</v>
      </c>
      <c r="F6" s="97" t="s">
        <v>58</v>
      </c>
      <c r="G6" s="97" t="s">
        <v>72</v>
      </c>
      <c r="H6" s="98" t="s">
        <v>49</v>
      </c>
      <c r="I6" s="95">
        <v>202</v>
      </c>
      <c r="J6" s="95">
        <f t="shared" ref="J6:J7" si="1">ROUNDUP(I6*7%,0)</f>
        <v>15</v>
      </c>
      <c r="K6" s="95">
        <f>I6+J6+5</f>
        <v>222</v>
      </c>
      <c r="L6" s="144"/>
      <c r="M6" s="141"/>
      <c r="N6" s="142"/>
      <c r="O6" s="142"/>
      <c r="P6" s="143"/>
      <c r="Q6" s="99">
        <f>995-944</f>
        <v>51</v>
      </c>
    </row>
    <row r="7" spans="1:17" s="99" customFormat="1" ht="98.25" customHeight="1">
      <c r="A7" s="95">
        <f t="shared" si="0"/>
        <v>3</v>
      </c>
      <c r="B7" s="96" t="s">
        <v>63</v>
      </c>
      <c r="C7" s="96" t="s">
        <v>65</v>
      </c>
      <c r="D7" s="108" t="s">
        <v>68</v>
      </c>
      <c r="E7" s="109" t="s">
        <v>69</v>
      </c>
      <c r="F7" s="97" t="s">
        <v>58</v>
      </c>
      <c r="G7" s="97" t="s">
        <v>73</v>
      </c>
      <c r="H7" s="98" t="s">
        <v>49</v>
      </c>
      <c r="I7" s="95">
        <v>152</v>
      </c>
      <c r="J7" s="95">
        <f t="shared" si="1"/>
        <v>11</v>
      </c>
      <c r="K7" s="95">
        <f>I7+J7+5</f>
        <v>168</v>
      </c>
      <c r="L7" s="110"/>
      <c r="M7" s="138"/>
      <c r="N7" s="139"/>
      <c r="O7" s="139"/>
      <c r="P7" s="140"/>
      <c r="Q7" s="99">
        <f>995-944</f>
        <v>51</v>
      </c>
    </row>
    <row r="8" spans="1:17" ht="20.25" customHeight="1">
      <c r="A8" s="129" t="s">
        <v>48</v>
      </c>
      <c r="B8" s="130"/>
      <c r="C8" s="130"/>
      <c r="D8" s="130"/>
      <c r="E8" s="130"/>
      <c r="F8" s="130"/>
      <c r="G8" s="130"/>
      <c r="H8" s="131"/>
      <c r="I8" s="100">
        <f>SUM(I5:I7)</f>
        <v>556</v>
      </c>
      <c r="J8" s="100">
        <f>SUM(J5:J7)</f>
        <v>41</v>
      </c>
      <c r="K8" s="100">
        <f>SUM(K5:K7)</f>
        <v>615</v>
      </c>
      <c r="L8" s="101"/>
      <c r="M8" s="126"/>
      <c r="N8" s="127"/>
      <c r="O8" s="127"/>
      <c r="P8" s="128"/>
    </row>
    <row r="10" spans="1:17" ht="20.25" customHeight="1">
      <c r="F10" s="94">
        <f>656-624</f>
        <v>32</v>
      </c>
    </row>
  </sheetData>
  <autoFilter ref="A4:P8" xr:uid="{00000000-0009-0000-0000-000001000000}">
    <filterColumn colId="12" showButton="0"/>
    <filterColumn colId="13" showButton="0"/>
    <filterColumn colId="14" showButton="0"/>
  </autoFilter>
  <mergeCells count="4">
    <mergeCell ref="M8:P8"/>
    <mergeCell ref="A8:H8"/>
    <mergeCell ref="M4:P4"/>
    <mergeCell ref="M5:P7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2024-12-25T06:37:40Z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